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 firstSheet="18" activeTab="28"/>
  </bookViews>
  <sheets>
    <sheet name="武器技能设计" sheetId="1" r:id="rId1"/>
    <sheet name="武器伤害" sheetId="4" r:id="rId2"/>
    <sheet name="技能系数" sheetId="5" r:id="rId3"/>
    <sheet name="技能池" sheetId="13" r:id="rId4"/>
    <sheet name="技能概率" sheetId="6" r:id="rId5"/>
    <sheet name="怪物难度系数" sheetId="7" r:id="rId6"/>
    <sheet name="通用关卡" sheetId="3" r:id="rId7"/>
    <sheet name="第1关" sheetId="8" r:id="rId8"/>
    <sheet name="第2关" sheetId="9" r:id="rId9"/>
    <sheet name="第3关" sheetId="10" r:id="rId10"/>
    <sheet name="第4关" sheetId="14" r:id="rId11"/>
    <sheet name="第5关" sheetId="15" r:id="rId12"/>
    <sheet name="第6关" sheetId="16" r:id="rId13"/>
    <sheet name="第7关" sheetId="17" r:id="rId14"/>
    <sheet name="第8关" sheetId="18" r:id="rId15"/>
    <sheet name="第9关" sheetId="19" r:id="rId16"/>
    <sheet name="第10关" sheetId="20" r:id="rId17"/>
    <sheet name="第11关" sheetId="21" r:id="rId18"/>
    <sheet name="第12关" sheetId="22" r:id="rId19"/>
    <sheet name="第13关" sheetId="23" r:id="rId20"/>
    <sheet name="第14关" sheetId="24" r:id="rId21"/>
    <sheet name="第15关" sheetId="25" r:id="rId22"/>
    <sheet name="第16关" sheetId="26" r:id="rId23"/>
    <sheet name="第17关" sheetId="27" r:id="rId24"/>
    <sheet name="第18关" sheetId="28" r:id="rId25"/>
    <sheet name="第19关" sheetId="29" r:id="rId26"/>
    <sheet name="第20关" sheetId="30" r:id="rId27"/>
    <sheet name="第21关" sheetId="31" r:id="rId28"/>
    <sheet name="第22关" sheetId="32" r:id="rId29"/>
    <sheet name="章节表配置" sheetId="12" r:id="rId30"/>
    <sheet name="副本第1关" sheetId="34" r:id="rId31"/>
    <sheet name="副本第2关" sheetId="35" r:id="rId32"/>
    <sheet name="副本第3关" sheetId="36" r:id="rId33"/>
    <sheet name="副本第4关" sheetId="37" r:id="rId34"/>
    <sheet name="副本第5关" sheetId="38" r:id="rId35"/>
    <sheet name="橙武副本1" sheetId="39" r:id="rId36"/>
    <sheet name="橙武副本3" sheetId="40" r:id="rId37"/>
    <sheet name="橙武副本4" sheetId="41" r:id="rId38"/>
    <sheet name="怪物表" sheetId="33" r:id="rId39"/>
  </sheets>
  <calcPr calcId="144525"/>
</workbook>
</file>

<file path=xl/sharedStrings.xml><?xml version="1.0" encoding="utf-8"?>
<sst xmlns="http://schemas.openxmlformats.org/spreadsheetml/2006/main" count="5595" uniqueCount="664">
  <si>
    <t>id</t>
  </si>
  <si>
    <t>名称</t>
  </si>
  <si>
    <t>属性类型</t>
  </si>
  <si>
    <t>类型</t>
  </si>
  <si>
    <t>品质</t>
  </si>
  <si>
    <t>攻击数量</t>
  </si>
  <si>
    <t>弹道</t>
  </si>
  <si>
    <t>功能说明</t>
  </si>
  <si>
    <t>icon</t>
  </si>
  <si>
    <t>技能1（蓝）</t>
  </si>
  <si>
    <t>技能2（蓝）</t>
  </si>
  <si>
    <t>技能3（紫）</t>
  </si>
  <si>
    <t>技能4（紫）</t>
  </si>
  <si>
    <t>技能5（橙）</t>
  </si>
  <si>
    <t>技能6（橙）</t>
  </si>
  <si>
    <t>基础技能</t>
  </si>
  <si>
    <t>特殊技能</t>
  </si>
  <si>
    <t>弹弓</t>
  </si>
  <si>
    <t>物理</t>
  </si>
  <si>
    <t>单体</t>
  </si>
  <si>
    <t>绿</t>
  </si>
  <si>
    <t>1</t>
  </si>
  <si>
    <t>直线</t>
  </si>
  <si>
    <t>初始默认武器，无法修改，可替换</t>
  </si>
  <si>
    <t>连射+1</t>
  </si>
  <si>
    <t>添加流血效果</t>
  </si>
  <si>
    <t>伤害+200%</t>
  </si>
  <si>
    <t>暴击率+50%，爆伤+100%</t>
  </si>
  <si>
    <t>概率10倍伤害</t>
  </si>
  <si>
    <t>连射+2，伤害+200%</t>
  </si>
  <si>
    <t>减少cd、伤害、属性</t>
  </si>
  <si>
    <t>数量、连发、额外效果</t>
  </si>
  <si>
    <t>标枪</t>
  </si>
  <si>
    <t>感电</t>
  </si>
  <si>
    <t>蓝</t>
  </si>
  <si>
    <t>穿透+1</t>
  </si>
  <si>
    <t>感电效果</t>
  </si>
  <si>
    <t>穿透+1，伤害+100%</t>
  </si>
  <si>
    <t>伤害+150%，对感电单位增伤150%</t>
  </si>
  <si>
    <t>必定暴击，暴击*2转爆伤</t>
  </si>
  <si>
    <t>伤害*2，连发2次</t>
  </si>
  <si>
    <t>长弓</t>
  </si>
  <si>
    <t>点燃</t>
  </si>
  <si>
    <t>群攻</t>
  </si>
  <si>
    <t>击中额外造成一次范围爆炸伤害</t>
  </si>
  <si>
    <t>添加点燃效果</t>
  </si>
  <si>
    <t>对点燃单位必定暴击，暴击转爆伤</t>
  </si>
  <si>
    <t>数量+2，伤害+100%</t>
  </si>
  <si>
    <t>3连发，伤害*2</t>
  </si>
  <si>
    <t>概率5倍伤害</t>
  </si>
  <si>
    <t>石斧</t>
  </si>
  <si>
    <t>击中额外造成一次范围伤害</t>
  </si>
  <si>
    <t>数量+1，伤害+100%</t>
  </si>
  <si>
    <t>连发+2，伤害+500%</t>
  </si>
  <si>
    <t>伤害*2，对流血单位额外造成伤害*3</t>
  </si>
  <si>
    <t>回旋镖</t>
  </si>
  <si>
    <t>减速</t>
  </si>
  <si>
    <t>弹射+1</t>
  </si>
  <si>
    <t>击中减速</t>
  </si>
  <si>
    <t>弹射+2</t>
  </si>
  <si>
    <t>减速增伤150%</t>
  </si>
  <si>
    <t>弹射+3，暴击率+50%</t>
  </si>
  <si>
    <t>连发2次，伤害*2</t>
  </si>
  <si>
    <t>飞剑</t>
  </si>
  <si>
    <t>弧线</t>
  </si>
  <si>
    <t>额外一次飞剑伤害</t>
  </si>
  <si>
    <t>穿透+3</t>
  </si>
  <si>
    <t>伤害*2，最后一次攻击爆裂成5把飞剑</t>
  </si>
  <si>
    <t>对感电单位必定暴击，暴击*2转爆伤</t>
  </si>
  <si>
    <t>法杖</t>
  </si>
  <si>
    <t>命中减速</t>
  </si>
  <si>
    <t>分裂*3</t>
  </si>
  <si>
    <t>连射+1，伤害+100%</t>
  </si>
  <si>
    <t>二次分裂</t>
  </si>
  <si>
    <t>伤害*2，对减速单位额外造成伤害*3</t>
  </si>
  <si>
    <t>符文塔</t>
  </si>
  <si>
    <t>击中额外造成一次爆炸伤害</t>
  </si>
  <si>
    <t>暴击+50%，伤害+50%</t>
  </si>
  <si>
    <t>飞行速度+100%，伤害+100%</t>
  </si>
  <si>
    <t>击中额外造成一次持续范围伤害</t>
  </si>
  <si>
    <t>暴击+50%，爆伤+400%</t>
  </si>
  <si>
    <t>突击步枪</t>
  </si>
  <si>
    <t>紫</t>
  </si>
  <si>
    <t>击中添加流血效果</t>
  </si>
  <si>
    <t>暴击率+50，暴击伤害+100%</t>
  </si>
  <si>
    <t>弹射+1，伤害+200%</t>
  </si>
  <si>
    <t>一定几率去除cd，持续5秒</t>
  </si>
  <si>
    <t>大炮</t>
  </si>
  <si>
    <t>命中后留下一块减速区域，对进入其中的单位造成减速效果</t>
  </si>
  <si>
    <t>冷却-20%，伤害+50%</t>
  </si>
  <si>
    <t>减速增伤400%</t>
  </si>
  <si>
    <t>数量+1，伤害+400%</t>
  </si>
  <si>
    <t>伤害+500%，概率冰冻</t>
  </si>
  <si>
    <t>手榴弹</t>
  </si>
  <si>
    <t>火</t>
  </si>
  <si>
    <t>数量+1</t>
  </si>
  <si>
    <t>爆炸范围*2，伤害+100%</t>
  </si>
  <si>
    <t>暴击率+50%，点燃增伤500%</t>
  </si>
  <si>
    <t>激光枪</t>
  </si>
  <si>
    <t>击中添加感电效果</t>
  </si>
  <si>
    <t>对同一目标伤害每次递增，最大150%</t>
  </si>
  <si>
    <t>激光持续时间+2秒</t>
  </si>
  <si>
    <t>激光持续时间翻倍，每秒3次伤害</t>
  </si>
  <si>
    <t>激光数量*3，伤害*5</t>
  </si>
  <si>
    <t>追踪导弹</t>
  </si>
  <si>
    <t>爆炸范围*2</t>
  </si>
  <si>
    <t>添加点燃效果，伤害+100%</t>
  </si>
  <si>
    <t>额外爆炸1次，伤害+500%</t>
  </si>
  <si>
    <t>伤害+200%，对点燃单位伤害额外+500%</t>
  </si>
  <si>
    <t>电磁炮</t>
  </si>
  <si>
    <t>闪电传播数量+2</t>
  </si>
  <si>
    <t>添加感电效果</t>
  </si>
  <si>
    <t>闪电数量+4，伤害*2</t>
  </si>
  <si>
    <t>对感电怪物伤害*5</t>
  </si>
  <si>
    <t>冰冻手雷</t>
  </si>
  <si>
    <t>冰</t>
  </si>
  <si>
    <t>添加减速效果</t>
  </si>
  <si>
    <t>对减速单位伤害+400%</t>
  </si>
  <si>
    <t>额外爆炸一次，伤害*500%</t>
  </si>
  <si>
    <t>连射+2，伤害*2</t>
  </si>
  <si>
    <t>战术爪刀</t>
  </si>
  <si>
    <t>1-2</t>
  </si>
  <si>
    <t>高频、初始高暴伤、单体高伤害</t>
  </si>
  <si>
    <t>流血效果</t>
  </si>
  <si>
    <t>对流血单位，爆伤+400%</t>
  </si>
  <si>
    <t>暴击时，伤害*5</t>
  </si>
  <si>
    <t>合金战刃</t>
  </si>
  <si>
    <t>橙</t>
  </si>
  <si>
    <t>体积+50%</t>
  </si>
  <si>
    <t>减速效果</t>
  </si>
  <si>
    <t>伤害间隔-100%，暴击伤害+100%</t>
  </si>
  <si>
    <t>持续时间+1秒，暴击+50%</t>
  </si>
  <si>
    <t>伤害+600%</t>
  </si>
  <si>
    <t>造成伤害时大概率造成10倍伤害 50%</t>
  </si>
  <si>
    <t>离散导弹</t>
  </si>
  <si>
    <t>3</t>
  </si>
  <si>
    <t>数量</t>
  </si>
  <si>
    <t>暴击+50%，发射速度+50%</t>
  </si>
  <si>
    <t>数量+1，连发+1，点燃必暴击</t>
  </si>
  <si>
    <t>雷神之锤</t>
  </si>
  <si>
    <t>索敌</t>
  </si>
  <si>
    <t>数量+1，暴击率+50%</t>
  </si>
  <si>
    <t>伤害+100%，分裂3个雷球，无限穿透</t>
  </si>
  <si>
    <t>伤害+200%，对感电单位造成3倍伤害</t>
  </si>
  <si>
    <t>弧刃脉冲炮</t>
  </si>
  <si>
    <t>暴击+25%，伤害+50%</t>
  </si>
  <si>
    <t>体积+100%，伤害+50%</t>
  </si>
  <si>
    <t>暴击+50%，概率秒杀</t>
  </si>
  <si>
    <t>暴击+50%，爆伤+200%，斩杀20%血以下怪物</t>
  </si>
  <si>
    <t>连发+2，伤害+200%</t>
  </si>
  <si>
    <t>图标</t>
  </si>
  <si>
    <t>方块动画</t>
  </si>
  <si>
    <t>弹道1</t>
  </si>
  <si>
    <t>弹道2</t>
  </si>
  <si>
    <t>弹道3</t>
  </si>
  <si>
    <t>属性</t>
  </si>
  <si>
    <t>技能效果</t>
  </si>
  <si>
    <t>石头1</t>
  </si>
  <si>
    <t>石头2</t>
  </si>
  <si>
    <t>石头3</t>
  </si>
  <si>
    <t>流血buff</t>
  </si>
  <si>
    <t>标枪1</t>
  </si>
  <si>
    <t>标枪2</t>
  </si>
  <si>
    <t>标枪3</t>
  </si>
  <si>
    <t>感电buff</t>
  </si>
  <si>
    <t>箭矢1</t>
  </si>
  <si>
    <t>箭矢2</t>
  </si>
  <si>
    <t>箭矢3</t>
  </si>
  <si>
    <t>火焰爆炸，点燃buff</t>
  </si>
  <si>
    <t>斧头1</t>
  </si>
  <si>
    <t>斧头2</t>
  </si>
  <si>
    <t>斧头3</t>
  </si>
  <si>
    <t>石斧裂地，流血buff</t>
  </si>
  <si>
    <t>回旋镖1</t>
  </si>
  <si>
    <t>回旋镖2</t>
  </si>
  <si>
    <t>回旋镖3</t>
  </si>
  <si>
    <t>减速buff</t>
  </si>
  <si>
    <t>飞剑1</t>
  </si>
  <si>
    <t>飞剑2</t>
  </si>
  <si>
    <t>飞剑3</t>
  </si>
  <si>
    <t>感电buff，爆裂闪光</t>
  </si>
  <si>
    <t>冰锥1</t>
  </si>
  <si>
    <t>冰锥2</t>
  </si>
  <si>
    <t>冰锥3</t>
  </si>
  <si>
    <t>符文1</t>
  </si>
  <si>
    <t>符文2</t>
  </si>
  <si>
    <t>符文3</t>
  </si>
  <si>
    <t>符文爆炸，点燃buff，符文法阵</t>
  </si>
  <si>
    <t>子弹1</t>
  </si>
  <si>
    <t>子弹2</t>
  </si>
  <si>
    <t>子弹3</t>
  </si>
  <si>
    <t>炸弹1</t>
  </si>
  <si>
    <t>炸弹2</t>
  </si>
  <si>
    <t>炸弹3</t>
  </si>
  <si>
    <t>炸弹爆炸，减速区域，减速buff，冰冻buff</t>
  </si>
  <si>
    <t>手榴弹1</t>
  </si>
  <si>
    <t>手榴弹2</t>
  </si>
  <si>
    <t>手榴弹3</t>
  </si>
  <si>
    <t>手榴弹爆炸，点燃buff</t>
  </si>
  <si>
    <t>激光射线1</t>
  </si>
  <si>
    <t>激光射线2</t>
  </si>
  <si>
    <t>激光射线3</t>
  </si>
  <si>
    <t>导弹1</t>
  </si>
  <si>
    <t>导弹2</t>
  </si>
  <si>
    <t>导弹3</t>
  </si>
  <si>
    <t>导弹爆炸，点燃buff</t>
  </si>
  <si>
    <t>电球1</t>
  </si>
  <si>
    <t>电球2</t>
  </si>
  <si>
    <t>电球3</t>
  </si>
  <si>
    <t>闪电链效果，感电buff</t>
  </si>
  <si>
    <t>手雷1</t>
  </si>
  <si>
    <t>手雷2</t>
  </si>
  <si>
    <t>手雷3</t>
  </si>
  <si>
    <t>手雷爆炸，减速buff</t>
  </si>
  <si>
    <t>爪刀1</t>
  </si>
  <si>
    <t>爪刀2</t>
  </si>
  <si>
    <t>爪刀3</t>
  </si>
  <si>
    <t>武器</t>
  </si>
  <si>
    <t>技能</t>
  </si>
  <si>
    <t>品质系数</t>
  </si>
  <si>
    <t>dps</t>
  </si>
  <si>
    <t>伤害基础</t>
  </si>
  <si>
    <t>秒伤dps=基础伤害*品质系数*类型系数</t>
  </si>
  <si>
    <t>秒伤dps=攻击力/CD*数量</t>
  </si>
  <si>
    <t>范围群攻</t>
  </si>
  <si>
    <t>红</t>
  </si>
  <si>
    <t>描述，文本</t>
  </si>
  <si>
    <t>变色</t>
  </si>
  <si>
    <t>文本</t>
  </si>
  <si>
    <t>攻击数量预期</t>
  </si>
  <si>
    <t>CD</t>
  </si>
  <si>
    <t>描述</t>
  </si>
  <si>
    <t>初始暴击</t>
  </si>
  <si>
    <t>攻击力</t>
  </si>
  <si>
    <t>手调</t>
  </si>
  <si>
    <t>单体秒伤dps</t>
  </si>
  <si>
    <t>总秒伤dps</t>
  </si>
  <si>
    <t>默认技能</t>
  </si>
  <si>
    <t>等级解锁技能</t>
  </si>
  <si>
    <t>获得弹弓！可以发射</t>
  </si>
  <si>
    <t>石头</t>
  </si>
  <si>
    <t>&lt;b&gt;&lt;size=20&gt;&lt;outline color=#3D3D3D width=2&gt;</t>
  </si>
  <si>
    <t>&lt;/outline&gt;&lt;/size&gt;&lt;/b&gt;</t>
  </si>
  <si>
    <t>获得武器标枪，投射标枪造成</t>
  </si>
  <si>
    <t>巨额伤害</t>
  </si>
  <si>
    <t>2</t>
  </si>
  <si>
    <t>获得武器长弓，可以同时攻击</t>
  </si>
  <si>
    <t>2个</t>
  </si>
  <si>
    <t>敌人！</t>
  </si>
  <si>
    <t>获得武器石斧，朝敌人投掷</t>
  </si>
  <si>
    <t>攻击</t>
  </si>
  <si>
    <t>获得武器回旋镖，丢出</t>
  </si>
  <si>
    <t>攻击敌人，击中后会弹射</t>
  </si>
  <si>
    <t>1次</t>
  </si>
  <si>
    <t>获得武器飞剑，朝目标发射</t>
  </si>
  <si>
    <t>获得武器法杖，朝目标发射</t>
  </si>
  <si>
    <t>冰锥</t>
  </si>
  <si>
    <t>获得武器符文塔，发射</t>
  </si>
  <si>
    <t>符文</t>
  </si>
  <si>
    <t>攻击敌人</t>
  </si>
  <si>
    <t>获得武器突击步枪，射速</t>
  </si>
  <si>
    <t>极快！</t>
  </si>
  <si>
    <t>获得武器大炮，击中敌人会</t>
  </si>
  <si>
    <t>爆炸</t>
  </si>
  <si>
    <t>，造成</t>
  </si>
  <si>
    <t>范围伤害</t>
  </si>
  <si>
    <t>获得武器手榴弹，击中敌人会</t>
  </si>
  <si>
    <t>获得武器激光器，朝目标发射</t>
  </si>
  <si>
    <t>激光</t>
  </si>
  <si>
    <t>，</t>
  </si>
  <si>
    <t>持续</t>
  </si>
  <si>
    <t>造成伤害</t>
  </si>
  <si>
    <t>获得武器追踪导弹，击中敌人产生</t>
  </si>
  <si>
    <t>获得武器电磁炮，</t>
  </si>
  <si>
    <t>闪电球</t>
  </si>
  <si>
    <t>电穿全场！</t>
  </si>
  <si>
    <t>获得武器冰冻手雷，</t>
  </si>
  <si>
    <t>轰！</t>
  </si>
  <si>
    <t>炸翻敌人！</t>
  </si>
  <si>
    <t>获得武器战术爪刀，极致的</t>
  </si>
  <si>
    <t>暴击武器！</t>
  </si>
  <si>
    <t>获得合金战刃！战刃</t>
  </si>
  <si>
    <t>快速旋转</t>
  </si>
  <si>
    <t>，对范围内敌人造成</t>
  </si>
  <si>
    <t>持续伤害</t>
  </si>
  <si>
    <t>&lt;b&gt;&lt;size=20&gt;&lt;outline color=#3D3D3D width=3&gt;</t>
  </si>
  <si>
    <t>6</t>
  </si>
  <si>
    <t>获得离散导弹，发射</t>
  </si>
  <si>
    <t>导弹</t>
  </si>
  <si>
    <t>攻击，击中后额外</t>
  </si>
  <si>
    <t>分裂</t>
  </si>
  <si>
    <t>出两个导弹</t>
  </si>
  <si>
    <t>&lt;b&gt;&lt;size=20&gt;&lt;outline color=#3D3D3D width=4&gt;</t>
  </si>
  <si>
    <t>获得雷神之锤，召唤</t>
  </si>
  <si>
    <t>雷电</t>
  </si>
  <si>
    <t>&lt;b&gt;&lt;size=20&gt;&lt;outline color=#3D3D3D width=5&gt;</t>
  </si>
  <si>
    <t>获得弧刃脉冲炮，发射</t>
  </si>
  <si>
    <t>弧线脉冲</t>
  </si>
  <si>
    <t>攻击敌人，</t>
  </si>
  <si>
    <t>穿透</t>
  </si>
  <si>
    <t>&lt;b&gt;&lt;size=20&gt;&lt;outline color=#3D3D3D width=6&gt;</t>
  </si>
  <si>
    <t>每个波次拥有技能数量武器分布</t>
  </si>
  <si>
    <t>20波</t>
  </si>
  <si>
    <t>20波广</t>
  </si>
  <si>
    <t>25波</t>
  </si>
  <si>
    <t>25波广</t>
  </si>
  <si>
    <t>30波</t>
  </si>
  <si>
    <t>30波广</t>
  </si>
  <si>
    <t>最小倍数</t>
  </si>
  <si>
    <t>最大倍数</t>
  </si>
  <si>
    <t>武器获得技能次数情况</t>
  </si>
  <si>
    <t>波次</t>
  </si>
  <si>
    <t>无广告</t>
  </si>
  <si>
    <t>有广告</t>
  </si>
  <si>
    <t>武器数量</t>
  </si>
  <si>
    <t>技能品质系数</t>
  </si>
  <si>
    <t>波数</t>
  </si>
  <si>
    <t>总数量</t>
  </si>
  <si>
    <t>乘区</t>
  </si>
  <si>
    <t>乘区描述</t>
  </si>
  <si>
    <t>乘区计算方式</t>
  </si>
  <si>
    <t>说明</t>
  </si>
  <si>
    <t>暴击率</t>
  </si>
  <si>
    <t>暴击伤害</t>
  </si>
  <si>
    <t>伤害</t>
  </si>
  <si>
    <t>技能蓝</t>
  </si>
  <si>
    <t>范围</t>
  </si>
  <si>
    <t>技能紫</t>
  </si>
  <si>
    <t>无广告12个技能</t>
  </si>
  <si>
    <t>有广告12个技能</t>
  </si>
  <si>
    <t>技能橙</t>
  </si>
  <si>
    <t>连发</t>
  </si>
  <si>
    <t>无广告无解锁12个技能</t>
  </si>
  <si>
    <t>有广告无解锁12个技能</t>
  </si>
  <si>
    <t>倍数伤害</t>
  </si>
  <si>
    <t>特殊乘区1</t>
  </si>
  <si>
    <t>额外一次伤害</t>
  </si>
  <si>
    <t>特殊乘区2</t>
  </si>
  <si>
    <t>点燃伤害</t>
  </si>
  <si>
    <t>特殊乘区3</t>
  </si>
  <si>
    <t>流血伤害</t>
  </si>
  <si>
    <t>特殊乘区4</t>
  </si>
  <si>
    <t>特殊乘区5</t>
  </si>
  <si>
    <t>特殊乘区6</t>
  </si>
  <si>
    <t>范围持续效果</t>
  </si>
  <si>
    <t>武器名称</t>
  </si>
  <si>
    <t>技能描述</t>
  </si>
  <si>
    <t>武器id</t>
  </si>
  <si>
    <t>技能乘区</t>
  </si>
  <si>
    <t>乘区值</t>
  </si>
  <si>
    <t>是否拥有技能</t>
  </si>
  <si>
    <t>技能数量</t>
  </si>
  <si>
    <t>乘区汇总值</t>
  </si>
  <si>
    <t>最优伤害倍数</t>
  </si>
  <si>
    <t>搭配最高伤害</t>
  </si>
  <si>
    <t>伤害加成</t>
  </si>
  <si>
    <t>伤害+25%</t>
  </si>
  <si>
    <t>暴击率+15%</t>
  </si>
  <si>
    <t>暴击</t>
  </si>
  <si>
    <t>爆伤</t>
  </si>
  <si>
    <t>减冷却</t>
  </si>
  <si>
    <t>CD-10%</t>
  </si>
  <si>
    <t>伤害+50%</t>
  </si>
  <si>
    <t>暴击率+25%</t>
  </si>
  <si>
    <t>暴击伤害+50%</t>
  </si>
  <si>
    <t>CD-20%</t>
  </si>
  <si>
    <t>伤害+100%</t>
  </si>
  <si>
    <t>暴击率+50%</t>
  </si>
  <si>
    <t>爆伤+100%</t>
  </si>
  <si>
    <t>CD-30%</t>
  </si>
  <si>
    <t>流血，2秒，每秒1次伤害，50%伤害系数</t>
  </si>
  <si>
    <t>35%概率10倍</t>
  </si>
  <si>
    <t>添加感电效果，受到伤害+20%</t>
  </si>
  <si>
    <t>伤害+150%，对感电伤害+150%</t>
  </si>
  <si>
    <t>伤害*3，连发+2</t>
  </si>
  <si>
    <t>额外造成一次范围爆炸伤害，100%伤害</t>
  </si>
  <si>
    <t>添加点燃效果，1秒，每秒2次伤害，50%伤害系数</t>
  </si>
  <si>
    <t>必暴击，暴击转爆伤</t>
  </si>
  <si>
    <t>3连发，伤害*3</t>
  </si>
  <si>
    <t>概率8倍伤害</t>
  </si>
  <si>
    <t>50%概率8倍伤害</t>
  </si>
  <si>
    <t>添加流血效果，持续2秒，每秒一次，50%</t>
  </si>
  <si>
    <t>暴击50%，爆伤100%</t>
  </si>
  <si>
    <t>伤害*3，对流血单位额外伤害+300%</t>
  </si>
  <si>
    <t>击中减速效果，减速25%</t>
  </si>
  <si>
    <t>伤害+100%，对减速增伤害150%</t>
  </si>
  <si>
    <t>连发+2，伤害*3</t>
  </si>
  <si>
    <t>感电效果，伤害+25%</t>
  </si>
  <si>
    <t>额外造成1次伤害+200%</t>
  </si>
  <si>
    <t>伤害+200%，对感电单位必定暴击，暴击*2转爆伤</t>
  </si>
  <si>
    <t>命中减速效果，减速25%</t>
  </si>
  <si>
    <t>分裂*2</t>
  </si>
  <si>
    <t>连发+1，伤害+100%</t>
  </si>
  <si>
    <t>分裂*2，伤害+100%</t>
  </si>
  <si>
    <t>分裂+2，伤害+100%</t>
  </si>
  <si>
    <t>伤害+200%，对减速单位额外造成伤害+300%</t>
  </si>
  <si>
    <t>80%造成5倍伤害</t>
  </si>
  <si>
    <t>击中额外爆炸，范围50%伤害</t>
  </si>
  <si>
    <t>暴击+50%，伤害+100%</t>
  </si>
  <si>
    <t>暴击50%，伤害+100%</t>
  </si>
  <si>
    <t>飞行速度+100%，伤害+200%</t>
  </si>
  <si>
    <t>添加额外范围效果， 持续3秒，每秒一次200%伤害</t>
  </si>
  <si>
    <t>暴击50%，爆伤400%</t>
  </si>
  <si>
    <t>一定几率去除cd，0.08秒射速，持续4秒</t>
  </si>
  <si>
    <t>持续减速，减速25%</t>
  </si>
  <si>
    <t>CD-20%，伤害+50%</t>
  </si>
  <si>
    <t>暴击+50，伤害+50%</t>
  </si>
  <si>
    <t>伤害+100%，减速增伤300%</t>
  </si>
  <si>
    <t>伤害+500%，5%概率冰冻1秒</t>
  </si>
  <si>
    <t>范围*2，伤害+100%</t>
  </si>
  <si>
    <t>添加感电效果，受到伤害+25%</t>
  </si>
  <si>
    <t>激光持续时间+1秒，每秒造成2次伤害，每次100%</t>
  </si>
  <si>
    <t>激光持续时间+1秒，每秒造成3次伤害，每次150%</t>
  </si>
  <si>
    <t>数量+2，伤害*3</t>
  </si>
  <si>
    <t>范围*2</t>
  </si>
  <si>
    <t>添加点燃效果，1秒，每秒2次伤害，50%伤害系数，伤害+100%</t>
  </si>
  <si>
    <t>额外1次伤害，伤害+500%</t>
  </si>
  <si>
    <t>伤害+200%，点燃增伤500%</t>
  </si>
  <si>
    <t>数量+2</t>
  </si>
  <si>
    <t>数量+4，伤害*2</t>
  </si>
  <si>
    <t>伤害+200%，对感电怪物伤害+300%</t>
  </si>
  <si>
    <t>添加减速效果，减速25%</t>
  </si>
  <si>
    <t>额外爆炸一次，伤害+300%</t>
  </si>
  <si>
    <t>连射+2，伤害*3</t>
  </si>
  <si>
    <t>暴击+50%，爆伤+200%</t>
  </si>
  <si>
    <t>特殊乘区7</t>
  </si>
  <si>
    <t>伤害倍数</t>
  </si>
  <si>
    <t>分裂3个雷球，无限穿透</t>
  </si>
  <si>
    <t>品质权重</t>
  </si>
  <si>
    <t>权重</t>
  </si>
  <si>
    <t>弹弓系数</t>
  </si>
  <si>
    <t>T4\T3\T2\T1:决定技能解锁</t>
  </si>
  <si>
    <t>非主动刷新</t>
  </si>
  <si>
    <t>广告数</t>
  </si>
  <si>
    <t>1-8波</t>
  </si>
  <si>
    <t>9-16波</t>
  </si>
  <si>
    <t>17-24波</t>
  </si>
  <si>
    <t>25-30波</t>
  </si>
  <si>
    <t>主动刷新</t>
  </si>
  <si>
    <t>技能分级检测</t>
  </si>
  <si>
    <t>绿色</t>
  </si>
  <si>
    <t>3\2\1:稀有技能概率增加</t>
  </si>
  <si>
    <t>skill_T4_3</t>
  </si>
  <si>
    <t>skill_T3_3</t>
  </si>
  <si>
    <t>skill_T2_3</t>
  </si>
  <si>
    <t>skill_T1_3</t>
  </si>
  <si>
    <t>蓝色</t>
  </si>
  <si>
    <t>skill_T4_2</t>
  </si>
  <si>
    <t>skill_T3_2</t>
  </si>
  <si>
    <t>skill_T2_2</t>
  </si>
  <si>
    <t>skill_T1_2</t>
  </si>
  <si>
    <t>紫色</t>
  </si>
  <si>
    <t>skill_T4_1</t>
  </si>
  <si>
    <t>skill_T3_1</t>
  </si>
  <si>
    <t>skill_T2_1</t>
  </si>
  <si>
    <t>skill_T1_1</t>
  </si>
  <si>
    <t>橙色</t>
  </si>
  <si>
    <t>通用</t>
  </si>
  <si>
    <t>子弹额外</t>
  </si>
  <si>
    <t>解锁部分稀有属性</t>
  </si>
  <si>
    <t>解锁部分技能稀有</t>
  </si>
  <si>
    <t>全部放开</t>
  </si>
  <si>
    <t>置为1</t>
  </si>
  <si>
    <t>第一、二波特殊</t>
  </si>
  <si>
    <t>3权重</t>
  </si>
  <si>
    <t>2权重</t>
  </si>
  <si>
    <t>1权重</t>
  </si>
  <si>
    <t>基础技能池</t>
  </si>
  <si>
    <t>1-40秒</t>
  </si>
  <si>
    <t>40秒-4波</t>
  </si>
  <si>
    <t>5-6波</t>
  </si>
  <si>
    <t>7-8波</t>
  </si>
  <si>
    <t>技能id</t>
  </si>
  <si>
    <t>所属武器</t>
  </si>
  <si>
    <t>局外技能</t>
  </si>
  <si>
    <t>技能品质</t>
  </si>
  <si>
    <t>技能权重</t>
  </si>
  <si>
    <t>解锁分类</t>
  </si>
  <si>
    <t>是否有技能</t>
  </si>
  <si>
    <t>base_skil</t>
  </si>
  <si>
    <t>配置</t>
  </si>
  <si>
    <t>技能概率</t>
  </si>
  <si>
    <t>颜色</t>
  </si>
  <si>
    <t>常规</t>
  </si>
  <si>
    <t>概率</t>
  </si>
  <si>
    <t>出现次数期望</t>
  </si>
  <si>
    <t>加权次数</t>
  </si>
  <si>
    <t>每次权重增加</t>
  </si>
  <si>
    <t>重新随机次数</t>
  </si>
  <si>
    <t>保底次数</t>
  </si>
  <si>
    <t>保底后真实期望</t>
  </si>
  <si>
    <t>| 基础阶段 | 72.19% | 69.90% | ✅ 几乎相同 |</t>
  </si>
  <si>
    <t>3%保底</t>
  </si>
  <si>
    <t>| 加权阶段 | 24.83% | 28.11% | ✅ 几乎相同 |</t>
  </si>
  <si>
    <t>2%保底</t>
  </si>
  <si>
    <t>| 保底触发 | 2.97%  | 1.99%  | ✅ 都很低  |</t>
  </si>
  <si>
    <t>特殊</t>
  </si>
  <si>
    <t>| 基础阶段抽到 | 81.04% (4次) | 71.84% (12次) | 大部分玩家在此出货 |</t>
  </si>
  <si>
    <t>2.4%保底</t>
  </si>
  <si>
    <t>| 加权阶段抽到 | 16.61%      | 26.29%       | 橙色加权存在感更强 |</t>
  </si>
  <si>
    <t>1.8%保底</t>
  </si>
  <si>
    <t>| 保底触发   | 2.35%       | 1.87%        | 都很低，机制健康  |</t>
  </si>
  <si>
    <t>attr0</t>
  </si>
  <si>
    <t>attr1</t>
  </si>
  <si>
    <t>attr2</t>
  </si>
  <si>
    <t>attr3</t>
  </si>
  <si>
    <t>attr4</t>
  </si>
  <si>
    <t>attr5</t>
  </si>
  <si>
    <t>attr6</t>
  </si>
  <si>
    <t>attr7</t>
  </si>
  <si>
    <t>attr8</t>
  </si>
  <si>
    <t>attr9</t>
  </si>
  <si>
    <t>attr10</t>
  </si>
  <si>
    <t>attr11</t>
  </si>
  <si>
    <t>attr12</t>
  </si>
  <si>
    <t>attr13</t>
  </si>
  <si>
    <t>attr14</t>
  </si>
  <si>
    <t>attr15</t>
  </si>
  <si>
    <t>attr16</t>
  </si>
  <si>
    <t>attr17</t>
  </si>
  <si>
    <t>attr18</t>
  </si>
  <si>
    <t>attr19</t>
  </si>
  <si>
    <t>attr20</t>
  </si>
  <si>
    <t>怪物基础血量</t>
  </si>
  <si>
    <t>难度系数</t>
  </si>
  <si>
    <t>int</t>
  </si>
  <si>
    <t>增长倍数</t>
  </si>
  <si>
    <t>无尽模式</t>
  </si>
  <si>
    <t>时间</t>
  </si>
  <si>
    <t>难度0</t>
  </si>
  <si>
    <t>难度1</t>
  </si>
  <si>
    <t>难度2</t>
  </si>
  <si>
    <t>难度3</t>
  </si>
  <si>
    <t>难度4</t>
  </si>
  <si>
    <t>难度5</t>
  </si>
  <si>
    <t>难度6</t>
  </si>
  <si>
    <t>难度7</t>
  </si>
  <si>
    <t>难度8</t>
  </si>
  <si>
    <t>难度9</t>
  </si>
  <si>
    <t>难度10</t>
  </si>
  <si>
    <t>难度11</t>
  </si>
  <si>
    <t>难度12</t>
  </si>
  <si>
    <t>难度13</t>
  </si>
  <si>
    <t>难度14</t>
  </si>
  <si>
    <t>难度15</t>
  </si>
  <si>
    <t>难度16</t>
  </si>
  <si>
    <t>难度17</t>
  </si>
  <si>
    <t>难度18</t>
  </si>
  <si>
    <t>难度19</t>
  </si>
  <si>
    <t>难度20</t>
  </si>
  <si>
    <t>难度21</t>
  </si>
  <si>
    <t>难度22</t>
  </si>
  <si>
    <t>难度23</t>
  </si>
  <si>
    <t>难度24</t>
  </si>
  <si>
    <t>难度25</t>
  </si>
  <si>
    <t>难度26</t>
  </si>
  <si>
    <t>难度27</t>
  </si>
  <si>
    <t>准备调整</t>
  </si>
  <si>
    <t>20260511前</t>
  </si>
  <si>
    <t>20260512后</t>
  </si>
  <si>
    <t>20260514后</t>
  </si>
  <si>
    <t>20260522后</t>
  </si>
  <si>
    <t>20260611后</t>
  </si>
  <si>
    <t>金额</t>
  </si>
  <si>
    <t>方块数量</t>
  </si>
  <si>
    <t>技能倍数</t>
  </si>
  <si>
    <t>数量倍数</t>
  </si>
  <si>
    <t>前10波节奏</t>
  </si>
  <si>
    <t>出怪口1</t>
  </si>
  <si>
    <t>出怪数量</t>
  </si>
  <si>
    <t>出怪口2</t>
  </si>
  <si>
    <t>出怪数</t>
  </si>
  <si>
    <t>dps预估</t>
  </si>
  <si>
    <t>怪物波次数量</t>
  </si>
  <si>
    <t>怪物总血量</t>
  </si>
  <si>
    <t>时间预估</t>
  </si>
  <si>
    <t>普通怪物</t>
  </si>
  <si>
    <t>精英怪物</t>
  </si>
  <si>
    <t>BOSS</t>
  </si>
  <si>
    <t>方块价格</t>
  </si>
  <si>
    <t>广告数量</t>
  </si>
  <si>
    <t>无广数量</t>
  </si>
  <si>
    <t>基础方块</t>
  </si>
  <si>
    <t>无重力方块</t>
  </si>
  <si>
    <t>金币方块</t>
  </si>
  <si>
    <t>回复方块</t>
  </si>
  <si>
    <t>藤曼方块</t>
  </si>
  <si>
    <t>最大方块数量</t>
  </si>
  <si>
    <t>无广方块</t>
  </si>
  <si>
    <t>怪物数据</t>
  </si>
  <si>
    <t>波次结算</t>
  </si>
  <si>
    <t>宝箱价格</t>
  </si>
  <si>
    <t>基础血量</t>
  </si>
  <si>
    <t>武器1</t>
  </si>
  <si>
    <t>武器2</t>
  </si>
  <si>
    <t>武器3</t>
  </si>
  <si>
    <t>武器4</t>
  </si>
  <si>
    <t>武器5</t>
  </si>
  <si>
    <t>武器6</t>
  </si>
  <si>
    <t>武器1倍数</t>
  </si>
  <si>
    <t>武器2倍数</t>
  </si>
  <si>
    <t>武器3倍数</t>
  </si>
  <si>
    <t>武器4倍数</t>
  </si>
  <si>
    <t>武器5倍数</t>
  </si>
  <si>
    <t>武器6倍数</t>
  </si>
  <si>
    <t>单武器1总倍数</t>
  </si>
  <si>
    <t>单武器2总倍数</t>
  </si>
  <si>
    <t>单武器3总倍数</t>
  </si>
  <si>
    <t>单武器4总倍数</t>
  </si>
  <si>
    <t>单武器5总倍数</t>
  </si>
  <si>
    <t>单武器6总倍数</t>
  </si>
  <si>
    <t>总倍数</t>
  </si>
  <si>
    <t>难度调整</t>
  </si>
  <si>
    <t>实际倍数</t>
  </si>
  <si>
    <t>怪物血量倍数</t>
  </si>
  <si>
    <t>出怪速度</t>
  </si>
  <si>
    <t>怪物数量</t>
  </si>
  <si>
    <t>波次时间</t>
  </si>
  <si>
    <t>怪物行进时间</t>
  </si>
  <si>
    <t>总血量</t>
  </si>
  <si>
    <t>血量倍数</t>
  </si>
  <si>
    <t>宝箱数量</t>
  </si>
  <si>
    <t>绿色数量</t>
  </si>
  <si>
    <t>公比</t>
  </si>
  <si>
    <t>蓝色数量</t>
  </si>
  <si>
    <t>紫色数量</t>
  </si>
  <si>
    <t>橙色数量</t>
  </si>
  <si>
    <t>关卡id</t>
  </si>
  <si>
    <t>爆炸掉落</t>
  </si>
  <si>
    <t>boss血量</t>
  </si>
  <si>
    <t>boss基础血量</t>
  </si>
  <si>
    <t>血量</t>
  </si>
  <si>
    <t>难度</t>
  </si>
  <si>
    <t>系数</t>
  </si>
  <si>
    <t>系数倍数</t>
  </si>
  <si>
    <t>组数</t>
  </si>
  <si>
    <t>平均单个时长</t>
  </si>
  <si>
    <t>type</t>
  </si>
  <si>
    <t>model</t>
  </si>
  <si>
    <t>skin</t>
  </si>
  <si>
    <t>scale</t>
  </si>
  <si>
    <t>HPCount</t>
  </si>
  <si>
    <t>HP</t>
  </si>
  <si>
    <t>attack</t>
  </si>
  <si>
    <t>speed</t>
  </si>
  <si>
    <t>attack_speed</t>
  </si>
  <si>
    <t>coin</t>
  </si>
  <si>
    <t>string</t>
  </si>
  <si>
    <t>float</t>
  </si>
  <si>
    <t>怪物类型
1、小怪
2、中期BOSS
3、BOSS
4、白银宝箱怪</t>
  </si>
  <si>
    <t>怪物模型</t>
  </si>
  <si>
    <t>皮肤</t>
  </si>
  <si>
    <t>模型放大倍数</t>
  </si>
  <si>
    <t>血条数</t>
  </si>
  <si>
    <t>怪物生命</t>
  </si>
  <si>
    <t>怪物攻击</t>
  </si>
  <si>
    <t>怪物移速</t>
  </si>
  <si>
    <t>怪物攻击速度</t>
  </si>
  <si>
    <t>怪物被击杀金币</t>
  </si>
  <si>
    <t>普通怪</t>
  </si>
  <si>
    <t>1_小怪</t>
  </si>
  <si>
    <t>小怪</t>
  </si>
  <si>
    <t>精英怪</t>
  </si>
  <si>
    <t>1_BOSS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</si>
</sst>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%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sz val="11"/>
      <color theme="1"/>
      <name val="等线"/>
      <charset val="134"/>
    </font>
    <font>
      <sz val="11"/>
      <color rgb="FFFF0000"/>
      <name val="等线"/>
      <charset val="134"/>
      <scheme val="minor"/>
    </font>
    <font>
      <b/>
      <sz val="20"/>
      <color rgb="FF0070C0"/>
      <name val="等线"/>
      <charset val="134"/>
      <scheme val="minor"/>
    </font>
    <font>
      <sz val="11"/>
      <color theme="1"/>
      <name val="Calibri"/>
      <charset val="134"/>
    </font>
    <font>
      <b/>
      <sz val="11"/>
      <color rgb="FFFF00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name val="等线"/>
      <charset val="134"/>
      <scheme val="minor"/>
    </font>
    <font>
      <sz val="12"/>
      <color rgb="FF0000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1" fillId="1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2" fillId="20" borderId="14" applyNumberFormat="0" applyAlignment="0" applyProtection="0">
      <alignment vertical="center"/>
    </xf>
    <xf numFmtId="0" fontId="25" fillId="20" borderId="11" applyNumberFormat="0" applyAlignment="0" applyProtection="0">
      <alignment vertical="center"/>
    </xf>
    <xf numFmtId="0" fontId="26" fillId="26" borderId="17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</cellStyleXfs>
  <cellXfs count="109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4" borderId="0" xfId="0" applyFill="1"/>
    <xf numFmtId="0" fontId="2" fillId="0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4" fillId="0" borderId="0" xfId="0" applyFont="1"/>
    <xf numFmtId="0" fontId="0" fillId="0" borderId="0" xfId="0" applyFont="1"/>
    <xf numFmtId="176" fontId="0" fillId="0" borderId="0" xfId="11" applyNumberFormat="1" applyFont="1" applyAlignme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176" fontId="0" fillId="0" borderId="0" xfId="11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/>
    <xf numFmtId="0" fontId="0" fillId="0" borderId="0" xfId="0" applyAlignment="1"/>
    <xf numFmtId="0" fontId="0" fillId="5" borderId="0" xfId="0" applyFill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7" borderId="0" xfId="0" applyFill="1"/>
    <xf numFmtId="0" fontId="0" fillId="8" borderId="0" xfId="0" applyFill="1"/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9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13" borderId="1" xfId="28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8" fillId="10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5" xfId="0" applyFont="1" applyBorder="1"/>
    <xf numFmtId="0" fontId="8" fillId="0" borderId="5" xfId="0" applyFont="1" applyBorder="1" applyAlignment="1">
      <alignment horizontal="left" vertical="center"/>
    </xf>
    <xf numFmtId="0" fontId="8" fillId="1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6" xfId="0" applyFont="1" applyBorder="1"/>
    <xf numFmtId="0" fontId="8" fillId="0" borderId="6" xfId="0" applyFont="1" applyBorder="1" applyAlignment="1">
      <alignment horizontal="left" vertical="center"/>
    </xf>
    <xf numFmtId="0" fontId="0" fillId="9" borderId="6" xfId="0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5" xfId="0" applyBorder="1"/>
    <xf numFmtId="0" fontId="0" fillId="0" borderId="4" xfId="0" applyBorder="1" applyAlignment="1">
      <alignment horizontal="center" vertical="center"/>
    </xf>
    <xf numFmtId="0" fontId="0" fillId="0" borderId="6" xfId="0" applyBorder="1"/>
    <xf numFmtId="9" fontId="0" fillId="0" borderId="5" xfId="0" applyNumberForma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8" fillId="0" borderId="0" xfId="0" applyFont="1" applyFill="1"/>
    <xf numFmtId="0" fontId="0" fillId="0" borderId="0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11" applyNumberFormat="1" applyFont="1" applyAlignment="1">
      <alignment horizontal="center" vertical="center"/>
    </xf>
    <xf numFmtId="49" fontId="0" fillId="0" borderId="0" xfId="11" applyNumberFormat="1" applyFont="1" applyAlignment="1"/>
    <xf numFmtId="49" fontId="0" fillId="0" borderId="0" xfId="0" applyNumberFormat="1"/>
    <xf numFmtId="0" fontId="0" fillId="0" borderId="0" xfId="0" applyFont="1" applyFill="1" applyAlignment="1">
      <alignment horizontal="center"/>
    </xf>
    <xf numFmtId="0" fontId="0" fillId="7" borderId="0" xfId="0" applyFill="1" applyAlignment="1">
      <alignment horizontal="center" vertical="center" wrapText="1"/>
    </xf>
    <xf numFmtId="0" fontId="0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ill>
        <patternFill patternType="solid">
          <bgColor rgb="FF92D050"/>
        </patternFill>
      </fill>
    </dxf>
    <dxf>
      <fill>
        <patternFill patternType="solid">
          <bgColor theme="4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FFC000"/>
        </patternFill>
      </fill>
    </dxf>
  </dxfs>
  <tableStyles count="0" defaultTableStyle="TableStyleMedium2" defaultPivotStyle="PivotStyleLight16"/>
  <colors>
    <mruColors>
      <color rgb="00FFFFFF"/>
      <color rgb="00B713BD"/>
      <color rgb="00A021AF"/>
      <color rgb="00A52A95"/>
      <color rgb="00EBB0E3"/>
      <color rgb="008E3A96"/>
      <color rgb="0062066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3"/>
  <sheetViews>
    <sheetView topLeftCell="J1" workbookViewId="0">
      <selection activeCell="J21" sqref="J21:O21"/>
    </sheetView>
  </sheetViews>
  <sheetFormatPr defaultColWidth="9" defaultRowHeight="13.8"/>
  <cols>
    <col min="1" max="1" width="10.2222222222222" style="7" customWidth="1"/>
    <col min="2" max="2" width="13.2222222222222" style="7" customWidth="1"/>
    <col min="3" max="4" width="10.3333333333333" style="7" customWidth="1"/>
    <col min="5" max="5" width="11.2222222222222" style="7" customWidth="1"/>
    <col min="6" max="7" width="11.2222222222222" style="102" customWidth="1"/>
    <col min="8" max="8" width="43.3333333333333" style="7" customWidth="1"/>
    <col min="9" max="9" width="10.7777777777778" style="7" customWidth="1"/>
    <col min="10" max="10" width="32.4444444444444" style="7" customWidth="1"/>
    <col min="11" max="11" width="32.6666666666667" style="7" customWidth="1"/>
    <col min="12" max="12" width="33.6666666666667" style="7" customWidth="1"/>
    <col min="13" max="13" width="32.6666666666667" style="7" customWidth="1"/>
    <col min="14" max="14" width="41.1111111111111" style="7" customWidth="1"/>
    <col min="15" max="15" width="37.7777777777778" style="7" customWidth="1"/>
    <col min="16" max="16" width="33.6666666666667" style="7" customWidth="1"/>
    <col min="17" max="17" width="24.2222222222222" style="4" customWidth="1"/>
    <col min="18" max="18" width="15.7777777777778" customWidth="1"/>
  </cols>
  <sheetData>
    <row r="1" spans="1:17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102" t="s">
        <v>5</v>
      </c>
      <c r="G1" s="102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4" t="s">
        <v>16</v>
      </c>
    </row>
    <row r="2" spans="1:17">
      <c r="A2" s="7">
        <v>1</v>
      </c>
      <c r="B2" s="7" t="s">
        <v>17</v>
      </c>
      <c r="C2" s="7" t="s">
        <v>18</v>
      </c>
      <c r="D2" s="7" t="s">
        <v>19</v>
      </c>
      <c r="E2" s="7" t="s">
        <v>20</v>
      </c>
      <c r="F2" s="102" t="s">
        <v>21</v>
      </c>
      <c r="G2" s="102" t="s">
        <v>22</v>
      </c>
      <c r="H2" s="7" t="s">
        <v>23</v>
      </c>
      <c r="J2" s="7" t="s">
        <v>24</v>
      </c>
      <c r="K2" s="34" t="s">
        <v>25</v>
      </c>
      <c r="L2" s="7" t="s">
        <v>26</v>
      </c>
      <c r="M2" s="7" t="s">
        <v>27</v>
      </c>
      <c r="N2" s="7" t="s">
        <v>28</v>
      </c>
      <c r="O2" s="106" t="s">
        <v>29</v>
      </c>
      <c r="P2" s="7" t="s">
        <v>30</v>
      </c>
      <c r="Q2" s="7" t="s">
        <v>31</v>
      </c>
    </row>
    <row r="3" spans="1:17">
      <c r="A3" s="7">
        <v>2</v>
      </c>
      <c r="B3" s="7" t="s">
        <v>32</v>
      </c>
      <c r="C3" s="7" t="s">
        <v>33</v>
      </c>
      <c r="D3" s="7" t="s">
        <v>19</v>
      </c>
      <c r="E3" s="7" t="s">
        <v>34</v>
      </c>
      <c r="G3" s="102" t="s">
        <v>22</v>
      </c>
      <c r="J3" s="7" t="s">
        <v>35</v>
      </c>
      <c r="K3" s="7" t="s">
        <v>36</v>
      </c>
      <c r="L3" s="7" t="s">
        <v>37</v>
      </c>
      <c r="M3" s="7" t="s">
        <v>38</v>
      </c>
      <c r="N3" s="7" t="s">
        <v>39</v>
      </c>
      <c r="O3" s="7" t="s">
        <v>40</v>
      </c>
      <c r="P3" s="7" t="s">
        <v>30</v>
      </c>
      <c r="Q3" s="7" t="s">
        <v>31</v>
      </c>
    </row>
    <row r="4" spans="1:17">
      <c r="A4" s="7">
        <v>3</v>
      </c>
      <c r="B4" s="7" t="s">
        <v>41</v>
      </c>
      <c r="C4" s="7" t="s">
        <v>42</v>
      </c>
      <c r="D4" s="7" t="s">
        <v>43</v>
      </c>
      <c r="E4" s="7" t="s">
        <v>34</v>
      </c>
      <c r="G4" s="102" t="s">
        <v>22</v>
      </c>
      <c r="J4" s="34" t="s">
        <v>44</v>
      </c>
      <c r="K4" s="7" t="s">
        <v>45</v>
      </c>
      <c r="L4" s="7" t="s">
        <v>46</v>
      </c>
      <c r="M4" s="7" t="s">
        <v>47</v>
      </c>
      <c r="N4" s="7" t="s">
        <v>48</v>
      </c>
      <c r="O4" s="7" t="s">
        <v>49</v>
      </c>
      <c r="P4" s="7" t="s">
        <v>30</v>
      </c>
      <c r="Q4" s="7" t="s">
        <v>31</v>
      </c>
    </row>
    <row r="5" spans="1:17">
      <c r="A5" s="7">
        <v>4</v>
      </c>
      <c r="B5" s="12" t="s">
        <v>50</v>
      </c>
      <c r="C5" s="7" t="s">
        <v>18</v>
      </c>
      <c r="D5" s="7" t="s">
        <v>19</v>
      </c>
      <c r="E5" s="7" t="s">
        <v>34</v>
      </c>
      <c r="G5" s="102" t="s">
        <v>22</v>
      </c>
      <c r="J5" s="34" t="s">
        <v>51</v>
      </c>
      <c r="K5" s="7" t="s">
        <v>25</v>
      </c>
      <c r="L5" s="7" t="s">
        <v>52</v>
      </c>
      <c r="M5" s="7" t="s">
        <v>27</v>
      </c>
      <c r="N5" s="7" t="s">
        <v>53</v>
      </c>
      <c r="O5" s="7" t="s">
        <v>54</v>
      </c>
      <c r="P5" s="7" t="s">
        <v>30</v>
      </c>
      <c r="Q5" s="7" t="s">
        <v>31</v>
      </c>
    </row>
    <row r="6" spans="1:17">
      <c r="A6" s="7">
        <v>5</v>
      </c>
      <c r="B6" s="7" t="s">
        <v>55</v>
      </c>
      <c r="C6" s="7" t="s">
        <v>56</v>
      </c>
      <c r="D6" s="7" t="s">
        <v>43</v>
      </c>
      <c r="E6" s="7" t="s">
        <v>34</v>
      </c>
      <c r="G6" s="102" t="s">
        <v>22</v>
      </c>
      <c r="J6" s="7" t="s">
        <v>57</v>
      </c>
      <c r="K6" s="7" t="s">
        <v>58</v>
      </c>
      <c r="L6" s="7" t="s">
        <v>59</v>
      </c>
      <c r="M6" s="7" t="s">
        <v>60</v>
      </c>
      <c r="N6" s="7" t="s">
        <v>61</v>
      </c>
      <c r="O6" s="7" t="s">
        <v>62</v>
      </c>
      <c r="P6" s="7" t="s">
        <v>30</v>
      </c>
      <c r="Q6" s="7" t="s">
        <v>31</v>
      </c>
    </row>
    <row r="7" spans="1:17">
      <c r="A7" s="7">
        <v>6</v>
      </c>
      <c r="B7" s="7" t="s">
        <v>63</v>
      </c>
      <c r="C7" s="7" t="s">
        <v>33</v>
      </c>
      <c r="D7" s="7" t="s">
        <v>19</v>
      </c>
      <c r="E7" s="7" t="s">
        <v>34</v>
      </c>
      <c r="G7" s="102" t="s">
        <v>64</v>
      </c>
      <c r="J7" s="7" t="s">
        <v>35</v>
      </c>
      <c r="K7" s="7" t="s">
        <v>36</v>
      </c>
      <c r="L7" s="7" t="s">
        <v>65</v>
      </c>
      <c r="M7" s="7" t="s">
        <v>66</v>
      </c>
      <c r="N7" s="34" t="s">
        <v>67</v>
      </c>
      <c r="O7" s="7" t="s">
        <v>68</v>
      </c>
      <c r="P7" s="7" t="s">
        <v>30</v>
      </c>
      <c r="Q7" s="7" t="s">
        <v>31</v>
      </c>
    </row>
    <row r="8" spans="1:17">
      <c r="A8" s="7">
        <v>7</v>
      </c>
      <c r="B8" s="7" t="s">
        <v>69</v>
      </c>
      <c r="C8" s="7" t="s">
        <v>56</v>
      </c>
      <c r="D8" s="7" t="s">
        <v>43</v>
      </c>
      <c r="E8" s="7" t="s">
        <v>34</v>
      </c>
      <c r="G8" s="102" t="s">
        <v>22</v>
      </c>
      <c r="J8" s="7" t="s">
        <v>70</v>
      </c>
      <c r="K8" s="7" t="s">
        <v>71</v>
      </c>
      <c r="L8" s="7" t="s">
        <v>72</v>
      </c>
      <c r="M8" s="7" t="s">
        <v>73</v>
      </c>
      <c r="N8" s="7" t="s">
        <v>74</v>
      </c>
      <c r="O8" s="7" t="s">
        <v>49</v>
      </c>
      <c r="P8" s="7" t="s">
        <v>30</v>
      </c>
      <c r="Q8" s="7" t="s">
        <v>31</v>
      </c>
    </row>
    <row r="9" spans="1:17">
      <c r="A9" s="7">
        <v>8</v>
      </c>
      <c r="B9" s="12" t="s">
        <v>75</v>
      </c>
      <c r="C9" s="7" t="s">
        <v>42</v>
      </c>
      <c r="D9" s="7" t="s">
        <v>43</v>
      </c>
      <c r="E9" s="7" t="s">
        <v>34</v>
      </c>
      <c r="G9" s="102" t="s">
        <v>64</v>
      </c>
      <c r="J9" s="34" t="s">
        <v>76</v>
      </c>
      <c r="K9" s="7" t="s">
        <v>45</v>
      </c>
      <c r="L9" s="7" t="s">
        <v>77</v>
      </c>
      <c r="M9" s="7" t="s">
        <v>78</v>
      </c>
      <c r="N9" s="7" t="s">
        <v>79</v>
      </c>
      <c r="O9" s="7" t="s">
        <v>80</v>
      </c>
      <c r="P9" s="7" t="s">
        <v>30</v>
      </c>
      <c r="Q9" s="7" t="s">
        <v>31</v>
      </c>
    </row>
    <row r="10" spans="1:17">
      <c r="A10" s="7">
        <v>9</v>
      </c>
      <c r="B10" s="7" t="s">
        <v>81</v>
      </c>
      <c r="C10" s="7" t="s">
        <v>18</v>
      </c>
      <c r="D10" s="7" t="s">
        <v>19</v>
      </c>
      <c r="E10" s="7" t="s">
        <v>82</v>
      </c>
      <c r="G10" s="102" t="s">
        <v>22</v>
      </c>
      <c r="J10" s="7" t="s">
        <v>24</v>
      </c>
      <c r="K10" s="7" t="s">
        <v>83</v>
      </c>
      <c r="L10" s="7" t="s">
        <v>84</v>
      </c>
      <c r="M10" s="7" t="s">
        <v>85</v>
      </c>
      <c r="N10" s="7" t="s">
        <v>86</v>
      </c>
      <c r="O10" s="7" t="s">
        <v>29</v>
      </c>
      <c r="P10" s="7" t="s">
        <v>30</v>
      </c>
      <c r="Q10" s="7" t="s">
        <v>31</v>
      </c>
    </row>
    <row r="11" ht="27.6" spans="1:17">
      <c r="A11" s="7">
        <v>10</v>
      </c>
      <c r="B11" s="7" t="s">
        <v>87</v>
      </c>
      <c r="C11" s="7" t="s">
        <v>56</v>
      </c>
      <c r="D11" s="7" t="s">
        <v>43</v>
      </c>
      <c r="E11" s="7" t="s">
        <v>82</v>
      </c>
      <c r="G11" s="102" t="s">
        <v>64</v>
      </c>
      <c r="J11" s="107" t="s">
        <v>88</v>
      </c>
      <c r="K11" s="7" t="s">
        <v>89</v>
      </c>
      <c r="L11" s="7" t="s">
        <v>77</v>
      </c>
      <c r="M11" s="7" t="s">
        <v>90</v>
      </c>
      <c r="N11" s="7" t="s">
        <v>91</v>
      </c>
      <c r="O11" s="34" t="s">
        <v>92</v>
      </c>
      <c r="P11" s="7" t="s">
        <v>30</v>
      </c>
      <c r="Q11" s="7" t="s">
        <v>31</v>
      </c>
    </row>
    <row r="12" spans="1:17">
      <c r="A12" s="7">
        <v>11</v>
      </c>
      <c r="B12" s="12" t="s">
        <v>93</v>
      </c>
      <c r="C12" s="7" t="s">
        <v>94</v>
      </c>
      <c r="D12" s="7" t="s">
        <v>43</v>
      </c>
      <c r="E12" s="7" t="s">
        <v>82</v>
      </c>
      <c r="G12" s="102" t="s">
        <v>64</v>
      </c>
      <c r="J12" s="7" t="s">
        <v>95</v>
      </c>
      <c r="K12" s="7" t="s">
        <v>45</v>
      </c>
      <c r="L12" s="7" t="s">
        <v>52</v>
      </c>
      <c r="M12" s="34" t="s">
        <v>96</v>
      </c>
      <c r="N12" s="7" t="s">
        <v>97</v>
      </c>
      <c r="O12" s="7" t="s">
        <v>28</v>
      </c>
      <c r="P12" s="7" t="s">
        <v>30</v>
      </c>
      <c r="Q12" s="7" t="s">
        <v>31</v>
      </c>
    </row>
    <row r="13" spans="1:17">
      <c r="A13" s="7">
        <v>12</v>
      </c>
      <c r="B13" s="7" t="s">
        <v>98</v>
      </c>
      <c r="C13" s="7" t="s">
        <v>33</v>
      </c>
      <c r="D13" s="7" t="s">
        <v>19</v>
      </c>
      <c r="E13" s="7" t="s">
        <v>82</v>
      </c>
      <c r="G13" s="102" t="s">
        <v>22</v>
      </c>
      <c r="J13" s="7" t="s">
        <v>99</v>
      </c>
      <c r="K13" s="7" t="s">
        <v>100</v>
      </c>
      <c r="L13" s="7" t="s">
        <v>84</v>
      </c>
      <c r="M13" s="7" t="s">
        <v>101</v>
      </c>
      <c r="N13" s="7" t="s">
        <v>102</v>
      </c>
      <c r="O13" s="7" t="s">
        <v>103</v>
      </c>
      <c r="P13" s="7" t="s">
        <v>30</v>
      </c>
      <c r="Q13" s="7" t="s">
        <v>31</v>
      </c>
    </row>
    <row r="14" spans="1:17">
      <c r="A14" s="7">
        <v>13</v>
      </c>
      <c r="B14" s="7" t="s">
        <v>104</v>
      </c>
      <c r="C14" s="7" t="s">
        <v>94</v>
      </c>
      <c r="D14" s="7" t="s">
        <v>43</v>
      </c>
      <c r="E14" s="7" t="s">
        <v>82</v>
      </c>
      <c r="G14" s="102" t="s">
        <v>64</v>
      </c>
      <c r="J14" s="7" t="s">
        <v>95</v>
      </c>
      <c r="K14" s="7" t="s">
        <v>105</v>
      </c>
      <c r="L14" s="7" t="s">
        <v>106</v>
      </c>
      <c r="M14" s="7" t="s">
        <v>27</v>
      </c>
      <c r="N14" s="7" t="s">
        <v>107</v>
      </c>
      <c r="O14" s="7" t="s">
        <v>108</v>
      </c>
      <c r="P14" s="7" t="s">
        <v>30</v>
      </c>
      <c r="Q14" s="7" t="s">
        <v>31</v>
      </c>
    </row>
    <row r="15" spans="1:17">
      <c r="A15" s="7">
        <v>14</v>
      </c>
      <c r="B15" s="7" t="s">
        <v>109</v>
      </c>
      <c r="C15" s="7" t="s">
        <v>33</v>
      </c>
      <c r="D15" s="7" t="s">
        <v>43</v>
      </c>
      <c r="E15" s="7" t="s">
        <v>82</v>
      </c>
      <c r="G15" s="102" t="s">
        <v>22</v>
      </c>
      <c r="J15" s="34" t="s">
        <v>110</v>
      </c>
      <c r="K15" s="7" t="s">
        <v>111</v>
      </c>
      <c r="L15" s="7" t="s">
        <v>72</v>
      </c>
      <c r="M15" s="7" t="s">
        <v>27</v>
      </c>
      <c r="N15" s="7" t="s">
        <v>112</v>
      </c>
      <c r="O15" s="7" t="s">
        <v>113</v>
      </c>
      <c r="P15" s="7" t="s">
        <v>30</v>
      </c>
      <c r="Q15" s="7" t="s">
        <v>31</v>
      </c>
    </row>
    <row r="16" spans="1:17">
      <c r="A16" s="7">
        <v>15</v>
      </c>
      <c r="B16" s="7" t="s">
        <v>114</v>
      </c>
      <c r="C16" s="7" t="s">
        <v>115</v>
      </c>
      <c r="D16" s="7" t="s">
        <v>43</v>
      </c>
      <c r="E16" s="7" t="s">
        <v>82</v>
      </c>
      <c r="G16" s="102" t="s">
        <v>64</v>
      </c>
      <c r="J16" s="34" t="s">
        <v>105</v>
      </c>
      <c r="K16" s="7" t="s">
        <v>116</v>
      </c>
      <c r="L16" s="7" t="s">
        <v>52</v>
      </c>
      <c r="M16" s="7" t="s">
        <v>117</v>
      </c>
      <c r="N16" s="7" t="s">
        <v>118</v>
      </c>
      <c r="O16" s="7" t="s">
        <v>119</v>
      </c>
      <c r="P16" s="7" t="s">
        <v>30</v>
      </c>
      <c r="Q16" s="7" t="s">
        <v>31</v>
      </c>
    </row>
    <row r="17" spans="1:17">
      <c r="A17" s="7">
        <v>16</v>
      </c>
      <c r="B17" s="7" t="s">
        <v>120</v>
      </c>
      <c r="C17" s="7" t="s">
        <v>18</v>
      </c>
      <c r="D17" s="7" t="s">
        <v>19</v>
      </c>
      <c r="E17" s="7" t="s">
        <v>82</v>
      </c>
      <c r="F17" s="102" t="s">
        <v>121</v>
      </c>
      <c r="G17" s="102" t="s">
        <v>64</v>
      </c>
      <c r="H17" s="7" t="s">
        <v>122</v>
      </c>
      <c r="J17" s="7" t="s">
        <v>57</v>
      </c>
      <c r="K17" s="7" t="s">
        <v>123</v>
      </c>
      <c r="L17" s="7" t="s">
        <v>124</v>
      </c>
      <c r="M17" s="7" t="s">
        <v>125</v>
      </c>
      <c r="N17" s="7" t="s">
        <v>39</v>
      </c>
      <c r="O17" s="7" t="s">
        <v>80</v>
      </c>
      <c r="P17" s="7" t="s">
        <v>30</v>
      </c>
      <c r="Q17" s="7" t="s">
        <v>31</v>
      </c>
    </row>
    <row r="18" spans="1:15">
      <c r="A18" s="7">
        <v>17</v>
      </c>
      <c r="B18" s="7" t="s">
        <v>126</v>
      </c>
      <c r="C18" s="7" t="s">
        <v>115</v>
      </c>
      <c r="D18" s="7" t="s">
        <v>43</v>
      </c>
      <c r="E18" s="7" t="s">
        <v>127</v>
      </c>
      <c r="G18" s="102" t="s">
        <v>22</v>
      </c>
      <c r="J18" s="7" t="s">
        <v>128</v>
      </c>
      <c r="K18" s="7" t="s">
        <v>129</v>
      </c>
      <c r="L18" s="7" t="s">
        <v>130</v>
      </c>
      <c r="M18" s="7" t="s">
        <v>131</v>
      </c>
      <c r="N18" s="4" t="s">
        <v>132</v>
      </c>
      <c r="O18" s="7" t="s">
        <v>133</v>
      </c>
    </row>
    <row r="19" spans="1:15">
      <c r="A19" s="7">
        <v>18</v>
      </c>
      <c r="B19" s="7" t="s">
        <v>134</v>
      </c>
      <c r="C19" s="7" t="s">
        <v>42</v>
      </c>
      <c r="D19" s="7" t="s">
        <v>43</v>
      </c>
      <c r="E19" s="7" t="s">
        <v>127</v>
      </c>
      <c r="F19" s="102" t="s">
        <v>135</v>
      </c>
      <c r="G19" s="102" t="s">
        <v>22</v>
      </c>
      <c r="J19" s="7" t="s">
        <v>42</v>
      </c>
      <c r="K19" s="7" t="s">
        <v>136</v>
      </c>
      <c r="L19" s="7" t="s">
        <v>137</v>
      </c>
      <c r="M19" s="7" t="s">
        <v>26</v>
      </c>
      <c r="N19" s="7" t="s">
        <v>28</v>
      </c>
      <c r="O19" s="7" t="s">
        <v>138</v>
      </c>
    </row>
    <row r="20" spans="1:15">
      <c r="A20" s="7">
        <v>19</v>
      </c>
      <c r="B20" s="7" t="s">
        <v>139</v>
      </c>
      <c r="C20" s="7" t="s">
        <v>33</v>
      </c>
      <c r="D20" s="7" t="s">
        <v>19</v>
      </c>
      <c r="E20" s="7" t="s">
        <v>127</v>
      </c>
      <c r="G20" s="102" t="s">
        <v>140</v>
      </c>
      <c r="J20" s="7" t="s">
        <v>95</v>
      </c>
      <c r="K20" s="7" t="s">
        <v>36</v>
      </c>
      <c r="L20" s="7" t="s">
        <v>26</v>
      </c>
      <c r="M20" s="7" t="s">
        <v>141</v>
      </c>
      <c r="N20" s="7" t="s">
        <v>142</v>
      </c>
      <c r="O20" s="7" t="s">
        <v>143</v>
      </c>
    </row>
    <row r="21" spans="1:15">
      <c r="A21" s="7">
        <v>20</v>
      </c>
      <c r="B21" s="7" t="s">
        <v>144</v>
      </c>
      <c r="C21" s="7" t="s">
        <v>18</v>
      </c>
      <c r="D21" s="7" t="s">
        <v>43</v>
      </c>
      <c r="E21" s="7" t="s">
        <v>127</v>
      </c>
      <c r="G21" s="102" t="s">
        <v>22</v>
      </c>
      <c r="J21" s="7" t="s">
        <v>128</v>
      </c>
      <c r="K21" s="7" t="s">
        <v>145</v>
      </c>
      <c r="L21" s="7" t="s">
        <v>146</v>
      </c>
      <c r="M21" s="7" t="s">
        <v>147</v>
      </c>
      <c r="N21" s="7" t="s">
        <v>148</v>
      </c>
      <c r="O21" s="7" t="s">
        <v>149</v>
      </c>
    </row>
    <row r="22" spans="10:15">
      <c r="J22" s="108"/>
      <c r="K22" s="108"/>
      <c r="L22" s="108"/>
      <c r="M22" s="108"/>
      <c r="N22" s="108"/>
      <c r="O22" s="106"/>
    </row>
    <row r="23" spans="1:15">
      <c r="A23" s="35"/>
      <c r="B23" s="35" t="s">
        <v>150</v>
      </c>
      <c r="C23" s="35" t="s">
        <v>151</v>
      </c>
      <c r="D23" s="35" t="s">
        <v>152</v>
      </c>
      <c r="E23" s="35" t="s">
        <v>153</v>
      </c>
      <c r="F23" s="93" t="s">
        <v>154</v>
      </c>
      <c r="G23" s="93" t="s">
        <v>155</v>
      </c>
      <c r="H23" s="35" t="s">
        <v>156</v>
      </c>
      <c r="J23" s="108"/>
      <c r="K23" s="108"/>
      <c r="L23" s="108"/>
      <c r="M23" s="108"/>
      <c r="N23" s="108"/>
      <c r="O23" s="106"/>
    </row>
    <row r="24" spans="1:15">
      <c r="A24" s="35">
        <v>1</v>
      </c>
      <c r="B24" s="35"/>
      <c r="C24" s="35"/>
      <c r="D24" s="35" t="s">
        <v>157</v>
      </c>
      <c r="E24" s="35" t="s">
        <v>158</v>
      </c>
      <c r="F24" s="93" t="s">
        <v>159</v>
      </c>
      <c r="G24" s="35" t="s">
        <v>18</v>
      </c>
      <c r="H24" s="35" t="s">
        <v>160</v>
      </c>
      <c r="J24" s="108"/>
      <c r="K24" s="108"/>
      <c r="L24" s="108"/>
      <c r="M24" s="108"/>
      <c r="N24" s="108"/>
      <c r="O24" s="106"/>
    </row>
    <row r="25" spans="1:15">
      <c r="A25" s="35">
        <v>2</v>
      </c>
      <c r="B25" s="35"/>
      <c r="C25" s="35"/>
      <c r="D25" s="35" t="s">
        <v>161</v>
      </c>
      <c r="E25" s="35" t="s">
        <v>162</v>
      </c>
      <c r="F25" s="35" t="s">
        <v>163</v>
      </c>
      <c r="G25" s="35" t="s">
        <v>33</v>
      </c>
      <c r="H25" s="35" t="s">
        <v>164</v>
      </c>
      <c r="J25" s="108"/>
      <c r="K25" s="108"/>
      <c r="L25" s="108"/>
      <c r="M25" s="108"/>
      <c r="N25" s="108"/>
      <c r="O25" s="106"/>
    </row>
    <row r="26" spans="1:15">
      <c r="A26" s="35">
        <v>3</v>
      </c>
      <c r="B26" s="35"/>
      <c r="C26" s="35"/>
      <c r="D26" s="35" t="s">
        <v>165</v>
      </c>
      <c r="E26" s="35" t="s">
        <v>166</v>
      </c>
      <c r="F26" s="35" t="s">
        <v>167</v>
      </c>
      <c r="G26" s="35" t="s">
        <v>42</v>
      </c>
      <c r="H26" s="35" t="s">
        <v>168</v>
      </c>
      <c r="J26" s="108"/>
      <c r="K26" s="108"/>
      <c r="L26" s="108"/>
      <c r="M26" s="108"/>
      <c r="N26" s="108"/>
      <c r="O26" s="106"/>
    </row>
    <row r="27" spans="1:15">
      <c r="A27" s="35">
        <v>4</v>
      </c>
      <c r="B27" s="35"/>
      <c r="C27" s="35"/>
      <c r="D27" s="35" t="s">
        <v>169</v>
      </c>
      <c r="E27" s="35" t="s">
        <v>170</v>
      </c>
      <c r="F27" s="35" t="s">
        <v>171</v>
      </c>
      <c r="G27" s="35" t="s">
        <v>18</v>
      </c>
      <c r="H27" s="35" t="s">
        <v>172</v>
      </c>
      <c r="J27" s="108"/>
      <c r="K27" s="108"/>
      <c r="L27" s="108"/>
      <c r="M27" s="108"/>
      <c r="N27" s="108"/>
      <c r="O27" s="106"/>
    </row>
    <row r="28" spans="1:15">
      <c r="A28" s="35">
        <v>5</v>
      </c>
      <c r="B28" s="35"/>
      <c r="C28" s="35"/>
      <c r="D28" s="35" t="s">
        <v>173</v>
      </c>
      <c r="E28" s="35" t="s">
        <v>174</v>
      </c>
      <c r="F28" s="35" t="s">
        <v>175</v>
      </c>
      <c r="G28" s="35" t="s">
        <v>56</v>
      </c>
      <c r="H28" s="35" t="s">
        <v>176</v>
      </c>
      <c r="J28" s="108"/>
      <c r="K28" s="108"/>
      <c r="L28" s="108"/>
      <c r="M28" s="108"/>
      <c r="N28" s="108"/>
      <c r="O28" s="106"/>
    </row>
    <row r="29" spans="1:15">
      <c r="A29" s="35">
        <v>6</v>
      </c>
      <c r="B29" s="35"/>
      <c r="C29" s="35"/>
      <c r="D29" s="35" t="s">
        <v>177</v>
      </c>
      <c r="E29" s="35" t="s">
        <v>178</v>
      </c>
      <c r="F29" s="35" t="s">
        <v>179</v>
      </c>
      <c r="G29" s="35" t="s">
        <v>33</v>
      </c>
      <c r="H29" s="35" t="s">
        <v>180</v>
      </c>
      <c r="J29" s="108"/>
      <c r="K29" s="108"/>
      <c r="L29" s="108"/>
      <c r="M29" s="108"/>
      <c r="N29" s="108"/>
      <c r="O29" s="106"/>
    </row>
    <row r="30" spans="1:15">
      <c r="A30" s="35">
        <v>7</v>
      </c>
      <c r="B30" s="35"/>
      <c r="C30" s="35"/>
      <c r="D30" s="35" t="s">
        <v>181</v>
      </c>
      <c r="E30" s="35" t="s">
        <v>182</v>
      </c>
      <c r="F30" s="35" t="s">
        <v>183</v>
      </c>
      <c r="G30" s="35" t="s">
        <v>56</v>
      </c>
      <c r="H30" s="35" t="s">
        <v>176</v>
      </c>
      <c r="J30" s="108"/>
      <c r="K30" s="108"/>
      <c r="L30" s="108"/>
      <c r="M30" s="108"/>
      <c r="N30" s="108"/>
      <c r="O30" s="106"/>
    </row>
    <row r="31" spans="1:15">
      <c r="A31" s="35">
        <v>8</v>
      </c>
      <c r="B31" s="35"/>
      <c r="C31" s="35"/>
      <c r="D31" s="35" t="s">
        <v>184</v>
      </c>
      <c r="E31" s="35" t="s">
        <v>185</v>
      </c>
      <c r="F31" s="35" t="s">
        <v>186</v>
      </c>
      <c r="G31" s="35" t="s">
        <v>42</v>
      </c>
      <c r="H31" s="35" t="s">
        <v>187</v>
      </c>
      <c r="J31" s="108"/>
      <c r="K31" s="108"/>
      <c r="L31" s="108"/>
      <c r="M31" s="108"/>
      <c r="N31" s="108"/>
      <c r="O31" s="106"/>
    </row>
    <row r="32" spans="1:15">
      <c r="A32" s="35">
        <v>9</v>
      </c>
      <c r="B32" s="35"/>
      <c r="C32" s="35"/>
      <c r="D32" s="35" t="s">
        <v>188</v>
      </c>
      <c r="E32" s="35" t="s">
        <v>189</v>
      </c>
      <c r="F32" s="35" t="s">
        <v>190</v>
      </c>
      <c r="G32" s="35" t="s">
        <v>18</v>
      </c>
      <c r="H32" s="35"/>
      <c r="J32" s="108"/>
      <c r="K32" s="108"/>
      <c r="L32" s="108"/>
      <c r="M32" s="108"/>
      <c r="N32" s="108"/>
      <c r="O32" s="106"/>
    </row>
    <row r="33" spans="1:15">
      <c r="A33" s="35">
        <v>10</v>
      </c>
      <c r="B33" s="35"/>
      <c r="C33" s="35"/>
      <c r="D33" s="35" t="s">
        <v>191</v>
      </c>
      <c r="E33" s="35" t="s">
        <v>192</v>
      </c>
      <c r="F33" s="35" t="s">
        <v>193</v>
      </c>
      <c r="G33" s="35" t="s">
        <v>56</v>
      </c>
      <c r="H33" s="35" t="s">
        <v>194</v>
      </c>
      <c r="J33" s="108"/>
      <c r="K33" s="108"/>
      <c r="L33" s="108"/>
      <c r="M33" s="108"/>
      <c r="N33" s="108"/>
      <c r="O33" s="106"/>
    </row>
    <row r="34" spans="1:15">
      <c r="A34" s="35">
        <v>11</v>
      </c>
      <c r="B34" s="35"/>
      <c r="C34" s="35"/>
      <c r="D34" s="35" t="s">
        <v>195</v>
      </c>
      <c r="E34" s="35" t="s">
        <v>196</v>
      </c>
      <c r="F34" s="35" t="s">
        <v>197</v>
      </c>
      <c r="G34" s="35" t="s">
        <v>94</v>
      </c>
      <c r="H34" s="35" t="s">
        <v>198</v>
      </c>
      <c r="J34" s="108"/>
      <c r="K34" s="108"/>
      <c r="L34" s="108"/>
      <c r="M34" s="108"/>
      <c r="N34" s="108"/>
      <c r="O34" s="106"/>
    </row>
    <row r="35" spans="1:15">
      <c r="A35" s="35">
        <v>12</v>
      </c>
      <c r="B35" s="35"/>
      <c r="C35" s="35"/>
      <c r="D35" s="35" t="s">
        <v>199</v>
      </c>
      <c r="E35" s="35" t="s">
        <v>200</v>
      </c>
      <c r="F35" s="35" t="s">
        <v>201</v>
      </c>
      <c r="G35" s="35" t="s">
        <v>33</v>
      </c>
      <c r="H35" s="35" t="s">
        <v>164</v>
      </c>
      <c r="J35" s="108"/>
      <c r="K35" s="108"/>
      <c r="L35" s="108"/>
      <c r="M35" s="108"/>
      <c r="N35" s="108"/>
      <c r="O35" s="106"/>
    </row>
    <row r="36" spans="1:15">
      <c r="A36" s="35">
        <v>13</v>
      </c>
      <c r="B36" s="35"/>
      <c r="C36" s="35"/>
      <c r="D36" s="35" t="s">
        <v>202</v>
      </c>
      <c r="E36" s="35" t="s">
        <v>203</v>
      </c>
      <c r="F36" s="35" t="s">
        <v>204</v>
      </c>
      <c r="G36" s="35" t="s">
        <v>94</v>
      </c>
      <c r="H36" s="35" t="s">
        <v>205</v>
      </c>
      <c r="J36" s="108"/>
      <c r="K36" s="108"/>
      <c r="L36" s="108"/>
      <c r="M36" s="108"/>
      <c r="N36" s="108"/>
      <c r="O36" s="106"/>
    </row>
    <row r="37" spans="1:15">
      <c r="A37" s="35">
        <v>14</v>
      </c>
      <c r="B37" s="35"/>
      <c r="C37" s="35"/>
      <c r="D37" s="35" t="s">
        <v>206</v>
      </c>
      <c r="E37" s="35" t="s">
        <v>207</v>
      </c>
      <c r="F37" s="35" t="s">
        <v>208</v>
      </c>
      <c r="G37" s="35" t="s">
        <v>33</v>
      </c>
      <c r="H37" s="35" t="s">
        <v>209</v>
      </c>
      <c r="J37" s="108"/>
      <c r="K37" s="108"/>
      <c r="L37" s="108"/>
      <c r="M37" s="108"/>
      <c r="N37" s="108"/>
      <c r="O37" s="106"/>
    </row>
    <row r="38" spans="1:8">
      <c r="A38" s="35">
        <v>15</v>
      </c>
      <c r="B38" s="35"/>
      <c r="C38" s="35"/>
      <c r="D38" s="35" t="s">
        <v>210</v>
      </c>
      <c r="E38" s="35" t="s">
        <v>211</v>
      </c>
      <c r="F38" s="35" t="s">
        <v>212</v>
      </c>
      <c r="G38" s="35" t="s">
        <v>115</v>
      </c>
      <c r="H38" s="35" t="s">
        <v>213</v>
      </c>
    </row>
    <row r="39" spans="1:8">
      <c r="A39" s="35">
        <v>16</v>
      </c>
      <c r="B39" s="35"/>
      <c r="C39" s="35"/>
      <c r="D39" s="35" t="s">
        <v>214</v>
      </c>
      <c r="E39" s="35" t="s">
        <v>215</v>
      </c>
      <c r="F39" s="35" t="s">
        <v>216</v>
      </c>
      <c r="G39" s="35" t="s">
        <v>18</v>
      </c>
      <c r="H39" s="35" t="s">
        <v>160</v>
      </c>
    </row>
    <row r="40" spans="1:1">
      <c r="A40" s="7">
        <v>17</v>
      </c>
    </row>
    <row r="43" spans="1:5">
      <c r="A43" s="7">
        <v>1</v>
      </c>
      <c r="B43" s="7" t="s">
        <v>217</v>
      </c>
      <c r="C43" s="7">
        <f>IF(B43="",0,1)</f>
        <v>1</v>
      </c>
      <c r="D43" s="7" t="s">
        <v>218</v>
      </c>
      <c r="E43" s="7">
        <v>1</v>
      </c>
    </row>
    <row r="44" spans="1:5">
      <c r="A44" s="7">
        <v>2</v>
      </c>
      <c r="B44" s="7" t="s">
        <v>218</v>
      </c>
      <c r="C44" s="7">
        <f t="shared" ref="C44:C72" si="0">IF(B44="",0,1)</f>
        <v>1</v>
      </c>
      <c r="D44" s="7" t="s">
        <v>217</v>
      </c>
      <c r="E44" s="7">
        <v>2</v>
      </c>
    </row>
    <row r="45" spans="1:3">
      <c r="A45" s="7">
        <v>3</v>
      </c>
      <c r="B45" s="7" t="s">
        <v>217</v>
      </c>
      <c r="C45" s="7">
        <f t="shared" si="0"/>
        <v>1</v>
      </c>
    </row>
    <row r="46" spans="1:3">
      <c r="A46" s="7">
        <v>4</v>
      </c>
      <c r="B46" s="7" t="s">
        <v>218</v>
      </c>
      <c r="C46" s="7">
        <f t="shared" si="0"/>
        <v>1</v>
      </c>
    </row>
    <row r="47" spans="1:3">
      <c r="A47" s="7">
        <v>5</v>
      </c>
      <c r="B47" s="7" t="s">
        <v>217</v>
      </c>
      <c r="C47" s="7">
        <f t="shared" si="0"/>
        <v>1</v>
      </c>
    </row>
    <row r="48" spans="1:3">
      <c r="A48" s="7">
        <v>6</v>
      </c>
      <c r="B48" s="7" t="s">
        <v>218</v>
      </c>
      <c r="C48" s="7">
        <f t="shared" si="0"/>
        <v>1</v>
      </c>
    </row>
    <row r="49" spans="1:3">
      <c r="A49" s="7">
        <v>7</v>
      </c>
      <c r="B49" s="7" t="s">
        <v>217</v>
      </c>
      <c r="C49" s="7">
        <f t="shared" si="0"/>
        <v>1</v>
      </c>
    </row>
    <row r="50" spans="1:3">
      <c r="A50" s="7">
        <v>8</v>
      </c>
      <c r="B50" s="7" t="s">
        <v>218</v>
      </c>
      <c r="C50" s="7">
        <f t="shared" si="0"/>
        <v>1</v>
      </c>
    </row>
    <row r="51" spans="1:3">
      <c r="A51" s="7">
        <v>9</v>
      </c>
      <c r="B51" s="7" t="s">
        <v>217</v>
      </c>
      <c r="C51" s="7">
        <f t="shared" si="0"/>
        <v>1</v>
      </c>
    </row>
    <row r="52" spans="1:3">
      <c r="A52" s="7">
        <v>10</v>
      </c>
      <c r="B52" s="7" t="s">
        <v>218</v>
      </c>
      <c r="C52" s="7">
        <f t="shared" si="0"/>
        <v>1</v>
      </c>
    </row>
    <row r="53" spans="1:3">
      <c r="A53" s="7">
        <v>11</v>
      </c>
      <c r="C53" s="7">
        <f t="shared" si="0"/>
        <v>0</v>
      </c>
    </row>
    <row r="54" spans="1:3">
      <c r="A54" s="7">
        <v>12</v>
      </c>
      <c r="B54" s="7" t="s">
        <v>218</v>
      </c>
      <c r="C54" s="7">
        <f t="shared" si="0"/>
        <v>1</v>
      </c>
    </row>
    <row r="55" spans="1:3">
      <c r="A55" s="7">
        <v>13</v>
      </c>
      <c r="C55" s="7">
        <f t="shared" si="0"/>
        <v>0</v>
      </c>
    </row>
    <row r="56" spans="1:3">
      <c r="A56" s="7">
        <v>14</v>
      </c>
      <c r="B56" s="7" t="s">
        <v>218</v>
      </c>
      <c r="C56" s="7">
        <f t="shared" si="0"/>
        <v>1</v>
      </c>
    </row>
    <row r="57" spans="1:3">
      <c r="A57" s="7">
        <v>15</v>
      </c>
      <c r="C57" s="7">
        <f t="shared" si="0"/>
        <v>0</v>
      </c>
    </row>
    <row r="58" spans="1:3">
      <c r="A58" s="7">
        <v>16</v>
      </c>
      <c r="B58" s="7" t="s">
        <v>218</v>
      </c>
      <c r="C58" s="7">
        <f t="shared" si="0"/>
        <v>1</v>
      </c>
    </row>
    <row r="59" spans="1:3">
      <c r="A59" s="7">
        <v>17</v>
      </c>
      <c r="C59" s="7">
        <f t="shared" si="0"/>
        <v>0</v>
      </c>
    </row>
    <row r="60" spans="1:3">
      <c r="A60" s="7">
        <v>18</v>
      </c>
      <c r="B60" s="7" t="s">
        <v>218</v>
      </c>
      <c r="C60" s="7">
        <f t="shared" si="0"/>
        <v>1</v>
      </c>
    </row>
    <row r="61" spans="1:3">
      <c r="A61" s="7">
        <v>19</v>
      </c>
      <c r="C61" s="7">
        <f t="shared" si="0"/>
        <v>0</v>
      </c>
    </row>
    <row r="62" spans="1:3">
      <c r="A62" s="7">
        <v>20</v>
      </c>
      <c r="B62" s="7" t="s">
        <v>218</v>
      </c>
      <c r="C62" s="7">
        <f t="shared" si="0"/>
        <v>1</v>
      </c>
    </row>
    <row r="63" spans="1:3">
      <c r="A63" s="7">
        <v>21</v>
      </c>
      <c r="C63" s="7">
        <f t="shared" si="0"/>
        <v>0</v>
      </c>
    </row>
    <row r="64" spans="1:3">
      <c r="A64" s="7">
        <v>22</v>
      </c>
      <c r="B64" s="7" t="s">
        <v>218</v>
      </c>
      <c r="C64" s="7">
        <f t="shared" si="0"/>
        <v>1</v>
      </c>
    </row>
    <row r="65" spans="1:3">
      <c r="A65" s="7">
        <v>23</v>
      </c>
      <c r="C65" s="7">
        <f t="shared" si="0"/>
        <v>0</v>
      </c>
    </row>
    <row r="66" spans="1:3">
      <c r="A66" s="7">
        <v>24</v>
      </c>
      <c r="B66" s="7" t="s">
        <v>218</v>
      </c>
      <c r="C66" s="7">
        <f t="shared" si="0"/>
        <v>1</v>
      </c>
    </row>
    <row r="67" spans="1:3">
      <c r="A67" s="7">
        <v>25</v>
      </c>
      <c r="B67" s="7" t="s">
        <v>218</v>
      </c>
      <c r="C67" s="7">
        <f t="shared" si="0"/>
        <v>1</v>
      </c>
    </row>
    <row r="68" spans="1:3">
      <c r="A68" s="7">
        <v>26</v>
      </c>
      <c r="C68" s="7">
        <f t="shared" si="0"/>
        <v>0</v>
      </c>
    </row>
    <row r="69" spans="1:3">
      <c r="A69" s="7">
        <v>27</v>
      </c>
      <c r="B69" s="7" t="s">
        <v>218</v>
      </c>
      <c r="C69" s="7">
        <f t="shared" si="0"/>
        <v>1</v>
      </c>
    </row>
    <row r="70" spans="1:3">
      <c r="A70" s="7">
        <v>28</v>
      </c>
      <c r="C70" s="7">
        <f t="shared" si="0"/>
        <v>0</v>
      </c>
    </row>
    <row r="71" spans="1:3">
      <c r="A71" s="7">
        <v>29</v>
      </c>
      <c r="B71" s="7" t="s">
        <v>218</v>
      </c>
      <c r="C71" s="7">
        <f t="shared" si="0"/>
        <v>1</v>
      </c>
    </row>
    <row r="72" spans="1:3">
      <c r="A72" s="7">
        <v>30</v>
      </c>
      <c r="C72" s="7">
        <f t="shared" si="0"/>
        <v>0</v>
      </c>
    </row>
    <row r="73" spans="3:3">
      <c r="C73" s="7" t="str">
        <f>_xlfn.TEXTJOIN(",",FALSE,C43:C72)</f>
        <v>1,1,1,1,1,1,1,1,1,1,0,1,0,1,0,1,0,1,0,1,0,1,0,1,1,0,1,0,1,0</v>
      </c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11"/>
  <sheetViews>
    <sheetView topLeftCell="O52" workbookViewId="0">
      <selection activeCell="AH90" sqref="AH90"/>
    </sheetView>
  </sheetViews>
  <sheetFormatPr defaultColWidth="8.88888888888889" defaultRowHeight="13.8"/>
  <cols>
    <col min="8" max="8" width="10.5555555555556" customWidth="1"/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29" max="29" width="8.88888888888889" style="7"/>
    <col min="30" max="30" width="12.8888888888889"/>
    <col min="34" max="34" width="8.88888888888889" style="7"/>
    <col min="35" max="35" width="12.8888888888889"/>
  </cols>
  <sheetData>
    <row r="1" s="4" customFormat="1" ht="16" customHeight="1" spans="1:34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301</v>
      </c>
      <c r="Y1" s="7">
        <v>3</v>
      </c>
      <c r="Z1" s="4">
        <v>302</v>
      </c>
      <c r="AA1" s="7">
        <v>303</v>
      </c>
      <c r="AB1" s="4" t="s">
        <v>590</v>
      </c>
      <c r="AC1" s="7" t="s">
        <v>591</v>
      </c>
      <c r="AH1" s="7"/>
    </row>
    <row r="2" spans="1:29">
      <c r="A2" s="7">
        <v>1</v>
      </c>
      <c r="B2" s="7">
        <v>100</v>
      </c>
      <c r="C2" s="7">
        <f t="shared" ref="C2:C19" si="0">ROUNDDOWN((B2-M2)/$X$6,0)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301</v>
      </c>
      <c r="J2" s="7">
        <v>10</v>
      </c>
      <c r="K2" s="7" t="str">
        <f>IF(H2=1,"",INDEX($X$1:$X$3,MATCH(H2,$V$1:$V$3,0)))</f>
        <v/>
      </c>
      <c r="L2" s="7" t="str">
        <f>IF(H2=1,"",IF(H2=2,5,1))</f>
        <v/>
      </c>
      <c r="N2" s="7">
        <f>IF(A2&lt;5,$X$1,IF(A2&gt;10,$AA$1,$Z$1))</f>
        <v>301</v>
      </c>
      <c r="O2" s="7">
        <v>10</v>
      </c>
      <c r="P2" s="7" t="str">
        <f>IF(H2=1,"",INDEX($X$1:$X$3,MATCH(H2,$V$1:$V$3,0)))</f>
        <v/>
      </c>
      <c r="Q2" s="7" t="str">
        <f>IF(H2=1,"",IF(H2=2,5,1))</f>
        <v/>
      </c>
      <c r="R2" s="7">
        <v>0</v>
      </c>
      <c r="S2" s="7">
        <f t="shared" ref="S2:S13" si="4">SUM(J2,Q2,,O2,L2)</f>
        <v>20</v>
      </c>
      <c r="T2" s="7"/>
      <c r="U2" s="7">
        <f t="shared" ref="U2:U13" si="5">SUM(J2,L2)+15</f>
        <v>25</v>
      </c>
      <c r="V2" s="7">
        <v>2</v>
      </c>
      <c r="W2" s="4" t="s">
        <v>577</v>
      </c>
      <c r="X2" s="8">
        <v>305</v>
      </c>
      <c r="Y2" s="4">
        <v>5</v>
      </c>
      <c r="AA2" s="7"/>
      <c r="AB2" s="4">
        <v>100</v>
      </c>
      <c r="AC2" s="7">
        <v>50</v>
      </c>
    </row>
    <row r="3" spans="1:27">
      <c r="A3" s="7">
        <v>2</v>
      </c>
      <c r="B3" s="7">
        <f>B2+$AB$2+R3</f>
        <v>200</v>
      </c>
      <c r="C3" s="7">
        <f t="shared" si="0"/>
        <v>5</v>
      </c>
      <c r="D3" s="7">
        <v>0</v>
      </c>
      <c r="E3" s="7">
        <f t="shared" si="1"/>
        <v>1</v>
      </c>
      <c r="F3" s="7">
        <f t="shared" si="2"/>
        <v>4</v>
      </c>
      <c r="G3" s="7">
        <f t="shared" si="3"/>
        <v>2</v>
      </c>
      <c r="H3" s="7">
        <v>1</v>
      </c>
      <c r="I3" s="7">
        <f t="shared" ref="I3:I21" si="6">IF(A3&lt;5,$X$1,IF(A3&gt;10,$AA$1,$Z$1))</f>
        <v>301</v>
      </c>
      <c r="J3" s="7">
        <v>10</v>
      </c>
      <c r="K3" s="7" t="str">
        <f>IF(H3=1,"",INDEX($X$1:$X$3,MATCH(H3,$V$1:$V$3,0)))</f>
        <v/>
      </c>
      <c r="L3" s="7" t="str">
        <f>IF(H3=1,"",IF(H3=2,5,1))</f>
        <v/>
      </c>
      <c r="N3" s="7">
        <f t="shared" ref="N3:N21" si="7">IF(A3&lt;5,$X$1,IF(A3&gt;10,$AA$1,$Z$1))</f>
        <v>301</v>
      </c>
      <c r="O3" s="7">
        <v>10</v>
      </c>
      <c r="P3" s="7" t="str">
        <f>IF(H3=1,"",INDEX($X$1:$X$3,MATCH(H3,$V$1:$V$3,0)))</f>
        <v/>
      </c>
      <c r="Q3" s="7" t="str">
        <f>IF(H3=1,"",IF(H3=2,5,1))</f>
        <v/>
      </c>
      <c r="R3" s="7">
        <v>0</v>
      </c>
      <c r="S3" s="7">
        <f t="shared" si="4"/>
        <v>20</v>
      </c>
      <c r="T3" s="7"/>
      <c r="U3" s="7">
        <f t="shared" si="5"/>
        <v>25</v>
      </c>
      <c r="V3" s="7">
        <v>3</v>
      </c>
      <c r="W3" s="4" t="s">
        <v>578</v>
      </c>
      <c r="X3" s="8">
        <v>306</v>
      </c>
      <c r="Y3" s="7">
        <v>10</v>
      </c>
      <c r="AA3" s="7"/>
    </row>
    <row r="4" spans="1:27">
      <c r="A4" s="7">
        <v>3</v>
      </c>
      <c r="B4" s="7">
        <f t="shared" ref="B4:B13" si="8">B3+$AB$2+R4</f>
        <v>320</v>
      </c>
      <c r="C4" s="7">
        <f t="shared" si="0"/>
        <v>8</v>
      </c>
      <c r="D4" s="7">
        <v>1</v>
      </c>
      <c r="E4" s="7">
        <f t="shared" si="1"/>
        <v>1.5</v>
      </c>
      <c r="F4" s="7">
        <f t="shared" si="2"/>
        <v>6</v>
      </c>
      <c r="G4" s="7">
        <f t="shared" si="3"/>
        <v>4.5</v>
      </c>
      <c r="H4" s="7">
        <v>1</v>
      </c>
      <c r="I4" s="7">
        <f t="shared" si="6"/>
        <v>301</v>
      </c>
      <c r="J4" s="7">
        <v>10</v>
      </c>
      <c r="K4" s="7" t="str">
        <f>IF(H4=1,"",INDEX($X$1:$X$3,MATCH(H4,$V$1:$V$3,0)))</f>
        <v/>
      </c>
      <c r="L4" s="7" t="str">
        <f>IF(H4=1,"",IF(H4=2,5,1))</f>
        <v/>
      </c>
      <c r="N4" s="7">
        <f t="shared" si="7"/>
        <v>301</v>
      </c>
      <c r="O4" s="7">
        <v>10</v>
      </c>
      <c r="P4" s="7" t="str">
        <f>IF(H4=1,"",INDEX($X$1:$X$3,MATCH(H4,$V$1:$V$3,0)))</f>
        <v/>
      </c>
      <c r="Q4" s="7" t="str">
        <f>IF(H4=1,"",IF(H4=2,5,1))</f>
        <v/>
      </c>
      <c r="R4" s="7">
        <v>20</v>
      </c>
      <c r="S4" s="7">
        <f t="shared" si="4"/>
        <v>20</v>
      </c>
      <c r="T4" s="7"/>
      <c r="U4" s="7">
        <f t="shared" si="5"/>
        <v>25</v>
      </c>
      <c r="V4" s="7"/>
      <c r="W4" s="4"/>
      <c r="X4" s="4"/>
      <c r="Y4" s="4"/>
      <c r="AA4" s="7"/>
    </row>
    <row r="5" spans="1:27">
      <c r="A5" s="7">
        <v>4</v>
      </c>
      <c r="B5" s="7">
        <f t="shared" si="8"/>
        <v>440</v>
      </c>
      <c r="C5" s="7">
        <f t="shared" si="0"/>
        <v>10</v>
      </c>
      <c r="D5" s="7">
        <v>1</v>
      </c>
      <c r="E5" s="7">
        <f t="shared" si="1"/>
        <v>1.5</v>
      </c>
      <c r="F5" s="7">
        <f t="shared" si="2"/>
        <v>8</v>
      </c>
      <c r="G5" s="7">
        <f t="shared" si="3"/>
        <v>6</v>
      </c>
      <c r="H5" s="7">
        <v>2</v>
      </c>
      <c r="I5" s="7">
        <f t="shared" si="6"/>
        <v>301</v>
      </c>
      <c r="J5" s="7">
        <v>10</v>
      </c>
      <c r="K5" s="7">
        <f>IF(H5=1,"",INDEX($X$1:$X$3,MATCH(H5,$V$1:$V$3,0)))</f>
        <v>305</v>
      </c>
      <c r="L5" s="7">
        <f>IF(H5=1,"",IF(H5=2,5,1))</f>
        <v>5</v>
      </c>
      <c r="M5">
        <v>20</v>
      </c>
      <c r="N5" s="7">
        <f t="shared" si="7"/>
        <v>301</v>
      </c>
      <c r="O5" s="7">
        <v>10</v>
      </c>
      <c r="P5" s="7">
        <f>IF(H5=1,"",INDEX($X$1:$X$3,MATCH(H5,$V$1:$V$3,0)))</f>
        <v>305</v>
      </c>
      <c r="Q5" s="7">
        <f>IF(H5=1,"",IF(H5=2,5,1))</f>
        <v>5</v>
      </c>
      <c r="R5" s="7">
        <v>20</v>
      </c>
      <c r="S5" s="7">
        <f t="shared" si="4"/>
        <v>30</v>
      </c>
      <c r="T5" s="7"/>
      <c r="U5" s="7">
        <f t="shared" si="5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 t="shared" si="8"/>
        <v>570</v>
      </c>
      <c r="C6" s="7">
        <f t="shared" si="0"/>
        <v>13</v>
      </c>
      <c r="D6" s="7">
        <v>2</v>
      </c>
      <c r="E6" s="7">
        <f t="shared" si="1"/>
        <v>2.25</v>
      </c>
      <c r="F6" s="7">
        <f t="shared" si="2"/>
        <v>10</v>
      </c>
      <c r="G6" s="7">
        <f t="shared" si="3"/>
        <v>11.25</v>
      </c>
      <c r="H6" s="7">
        <v>1</v>
      </c>
      <c r="I6" s="7">
        <f t="shared" si="6"/>
        <v>302</v>
      </c>
      <c r="J6" s="7">
        <v>5</v>
      </c>
      <c r="K6" s="7" t="str">
        <f>IF(H6=1,"",INDEX($X$1:$X$3,MATCH(H6,$V$1:$V$3,0)))</f>
        <v/>
      </c>
      <c r="L6" s="7" t="str">
        <f>IF(H6=1,"",IF(H6=2,5,1))</f>
        <v/>
      </c>
      <c r="M6">
        <v>40</v>
      </c>
      <c r="N6" s="7">
        <f t="shared" si="7"/>
        <v>302</v>
      </c>
      <c r="O6" s="7">
        <v>5</v>
      </c>
      <c r="P6" s="7" t="str">
        <f>IF(H6=1,"",INDEX($X$1:$X$3,MATCH(H6,$V$1:$V$3,0)))</f>
        <v/>
      </c>
      <c r="Q6" s="7" t="str">
        <f>IF(H6=1,"",IF(H6=2,5,1))</f>
        <v/>
      </c>
      <c r="R6" s="7">
        <v>30</v>
      </c>
      <c r="S6" s="7">
        <f t="shared" si="4"/>
        <v>10</v>
      </c>
      <c r="T6" s="7"/>
      <c r="U6" s="7">
        <f t="shared" si="5"/>
        <v>20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9">ROUND(85*Y6/100,0)</f>
        <v>68</v>
      </c>
      <c r="AA6" s="7">
        <f t="shared" ref="AA6:AA10" si="10">ROUND($W$13*Y6/100,0)</f>
        <v>48</v>
      </c>
    </row>
    <row r="7" spans="1:27">
      <c r="A7" s="7">
        <v>6</v>
      </c>
      <c r="B7" s="7">
        <f t="shared" si="8"/>
        <v>700</v>
      </c>
      <c r="C7" s="7">
        <f t="shared" si="0"/>
        <v>16</v>
      </c>
      <c r="D7" s="7">
        <v>2</v>
      </c>
      <c r="E7" s="7">
        <f t="shared" si="1"/>
        <v>2.25</v>
      </c>
      <c r="F7" s="7">
        <f t="shared" si="2"/>
        <v>13</v>
      </c>
      <c r="G7" s="7">
        <f t="shared" si="3"/>
        <v>14.625</v>
      </c>
      <c r="H7" s="7">
        <v>1</v>
      </c>
      <c r="I7" s="7">
        <f t="shared" si="6"/>
        <v>302</v>
      </c>
      <c r="J7" s="7">
        <v>10</v>
      </c>
      <c r="K7" s="7" t="str">
        <f t="shared" ref="K7:K13" si="11">IF(H7=1,"",INDEX($X$1:$X$3,MATCH(H7,$V$1:$V$3,0)))</f>
        <v/>
      </c>
      <c r="L7" s="7" t="str">
        <f t="shared" ref="L7:L13" si="12">IF(H7=1,"",IF(H7=2,5,1))</f>
        <v/>
      </c>
      <c r="M7">
        <v>60</v>
      </c>
      <c r="N7" s="7">
        <f t="shared" si="7"/>
        <v>302</v>
      </c>
      <c r="O7" s="7">
        <v>10</v>
      </c>
      <c r="P7" s="7" t="str">
        <f t="shared" ref="P7:P13" si="13">IF(H7=1,"",INDEX($X$1:$X$3,MATCH(H7,$V$1:$V$3,0)))</f>
        <v/>
      </c>
      <c r="Q7" s="7" t="str">
        <f t="shared" ref="Q7:Q13" si="14">IF(H7=1,"",IF(H7=2,5,1))</f>
        <v/>
      </c>
      <c r="R7" s="7">
        <v>30</v>
      </c>
      <c r="S7" s="7">
        <f t="shared" si="4"/>
        <v>20</v>
      </c>
      <c r="T7" s="7"/>
      <c r="U7" s="7">
        <f t="shared" si="5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9"/>
        <v>3</v>
      </c>
      <c r="AA7" s="7">
        <f t="shared" si="10"/>
        <v>2</v>
      </c>
    </row>
    <row r="8" spans="1:27">
      <c r="A8" s="7">
        <v>7</v>
      </c>
      <c r="B8" s="7">
        <f t="shared" si="8"/>
        <v>830</v>
      </c>
      <c r="C8" s="7">
        <f t="shared" si="0"/>
        <v>18</v>
      </c>
      <c r="D8" s="7">
        <v>3</v>
      </c>
      <c r="E8" s="7">
        <f t="shared" si="1"/>
        <v>3</v>
      </c>
      <c r="F8" s="7">
        <f t="shared" si="2"/>
        <v>14</v>
      </c>
      <c r="G8" s="7">
        <f t="shared" si="3"/>
        <v>21</v>
      </c>
      <c r="H8" s="7">
        <v>1</v>
      </c>
      <c r="I8" s="7">
        <f t="shared" si="6"/>
        <v>302</v>
      </c>
      <c r="J8" s="7">
        <v>10</v>
      </c>
      <c r="K8" s="7" t="str">
        <f t="shared" si="11"/>
        <v/>
      </c>
      <c r="L8" s="7" t="str">
        <f t="shared" si="12"/>
        <v/>
      </c>
      <c r="M8">
        <v>80</v>
      </c>
      <c r="N8" s="7">
        <f t="shared" si="7"/>
        <v>302</v>
      </c>
      <c r="O8" s="7">
        <v>10</v>
      </c>
      <c r="P8" s="7" t="str">
        <f t="shared" si="13"/>
        <v/>
      </c>
      <c r="Q8" s="7" t="str">
        <f t="shared" si="14"/>
        <v/>
      </c>
      <c r="R8" s="7">
        <v>30</v>
      </c>
      <c r="S8" s="7">
        <f t="shared" si="4"/>
        <v>20</v>
      </c>
      <c r="T8" s="7"/>
      <c r="U8" s="7">
        <f t="shared" si="5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9"/>
        <v>3</v>
      </c>
      <c r="AA8" s="7">
        <f t="shared" si="10"/>
        <v>2</v>
      </c>
    </row>
    <row r="9" spans="1:27">
      <c r="A9" s="7">
        <v>8</v>
      </c>
      <c r="B9" s="7">
        <f t="shared" si="8"/>
        <v>960</v>
      </c>
      <c r="C9" s="7">
        <f t="shared" si="0"/>
        <v>21</v>
      </c>
      <c r="D9" s="7">
        <v>3</v>
      </c>
      <c r="E9" s="7">
        <f t="shared" si="1"/>
        <v>3</v>
      </c>
      <c r="F9" s="7">
        <f t="shared" si="2"/>
        <v>17</v>
      </c>
      <c r="G9" s="7">
        <f t="shared" si="3"/>
        <v>25.5</v>
      </c>
      <c r="H9" s="7">
        <v>2</v>
      </c>
      <c r="I9" s="7">
        <f t="shared" si="6"/>
        <v>302</v>
      </c>
      <c r="J9" s="7">
        <v>10</v>
      </c>
      <c r="K9" s="7">
        <f t="shared" si="11"/>
        <v>305</v>
      </c>
      <c r="L9" s="7">
        <f t="shared" si="12"/>
        <v>5</v>
      </c>
      <c r="M9">
        <v>110</v>
      </c>
      <c r="N9" s="7">
        <f t="shared" si="7"/>
        <v>302</v>
      </c>
      <c r="O9" s="7">
        <v>10</v>
      </c>
      <c r="P9" s="7">
        <f t="shared" si="13"/>
        <v>305</v>
      </c>
      <c r="Q9" s="7">
        <f t="shared" si="14"/>
        <v>5</v>
      </c>
      <c r="R9" s="7">
        <v>30</v>
      </c>
      <c r="S9" s="7">
        <f t="shared" si="4"/>
        <v>30</v>
      </c>
      <c r="T9" s="7"/>
      <c r="U9" s="7">
        <f t="shared" si="5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9"/>
        <v>5</v>
      </c>
      <c r="AA9" s="7">
        <f t="shared" si="10"/>
        <v>4</v>
      </c>
    </row>
    <row r="10" spans="1:27">
      <c r="A10" s="7">
        <v>9</v>
      </c>
      <c r="B10" s="7">
        <f t="shared" si="8"/>
        <v>1090</v>
      </c>
      <c r="C10" s="7">
        <f t="shared" si="0"/>
        <v>23</v>
      </c>
      <c r="D10" s="7">
        <v>4</v>
      </c>
      <c r="E10" s="7">
        <f t="shared" si="1"/>
        <v>3.75</v>
      </c>
      <c r="F10" s="7">
        <f t="shared" si="2"/>
        <v>18</v>
      </c>
      <c r="G10" s="7">
        <f t="shared" si="3"/>
        <v>33.75</v>
      </c>
      <c r="H10" s="7">
        <v>1</v>
      </c>
      <c r="I10" s="7">
        <f t="shared" si="6"/>
        <v>302</v>
      </c>
      <c r="J10" s="7">
        <v>15</v>
      </c>
      <c r="K10" s="7" t="str">
        <f t="shared" si="11"/>
        <v/>
      </c>
      <c r="L10" s="7" t="str">
        <f t="shared" si="12"/>
        <v/>
      </c>
      <c r="M10">
        <v>140</v>
      </c>
      <c r="N10" s="7">
        <f t="shared" si="7"/>
        <v>302</v>
      </c>
      <c r="O10" s="7">
        <v>15</v>
      </c>
      <c r="P10" s="7" t="str">
        <f t="shared" si="13"/>
        <v/>
      </c>
      <c r="Q10" s="7" t="str">
        <f t="shared" si="14"/>
        <v/>
      </c>
      <c r="R10" s="7">
        <v>30</v>
      </c>
      <c r="S10" s="7">
        <f t="shared" si="4"/>
        <v>30</v>
      </c>
      <c r="T10" s="7"/>
      <c r="U10" s="7">
        <f t="shared" si="5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9"/>
        <v>7</v>
      </c>
      <c r="AA10" s="7">
        <f t="shared" si="10"/>
        <v>5</v>
      </c>
    </row>
    <row r="11" spans="1:27">
      <c r="A11" s="7">
        <v>10</v>
      </c>
      <c r="B11" s="7">
        <f t="shared" si="8"/>
        <v>1220</v>
      </c>
      <c r="C11" s="7">
        <f t="shared" si="0"/>
        <v>26</v>
      </c>
      <c r="D11" s="7">
        <v>6</v>
      </c>
      <c r="E11" s="7">
        <f t="shared" si="1"/>
        <v>5</v>
      </c>
      <c r="F11" s="7">
        <f t="shared" si="2"/>
        <v>21</v>
      </c>
      <c r="G11" s="7">
        <f t="shared" si="3"/>
        <v>52.5</v>
      </c>
      <c r="H11" s="7">
        <v>1</v>
      </c>
      <c r="I11" s="7">
        <f t="shared" si="6"/>
        <v>302</v>
      </c>
      <c r="J11" s="7">
        <v>15</v>
      </c>
      <c r="K11" s="7" t="str">
        <f t="shared" si="11"/>
        <v/>
      </c>
      <c r="L11" s="7" t="str">
        <f t="shared" si="12"/>
        <v/>
      </c>
      <c r="M11">
        <v>180</v>
      </c>
      <c r="N11" s="7">
        <f t="shared" si="7"/>
        <v>302</v>
      </c>
      <c r="O11" s="7">
        <v>15</v>
      </c>
      <c r="P11" s="7" t="str">
        <f t="shared" si="13"/>
        <v/>
      </c>
      <c r="Q11" s="7" t="str">
        <f t="shared" si="14"/>
        <v/>
      </c>
      <c r="R11" s="7">
        <v>30</v>
      </c>
      <c r="S11" s="7">
        <f t="shared" si="4"/>
        <v>30</v>
      </c>
      <c r="T11" s="7"/>
      <c r="U11" s="7">
        <f t="shared" si="5"/>
        <v>30</v>
      </c>
      <c r="V11" s="7"/>
      <c r="Y11" s="4"/>
      <c r="AA11" s="7"/>
    </row>
    <row r="12" spans="1:27">
      <c r="A12" s="7">
        <v>11</v>
      </c>
      <c r="B12" s="7">
        <f t="shared" si="8"/>
        <v>1360</v>
      </c>
      <c r="C12" s="7">
        <f t="shared" si="0"/>
        <v>28</v>
      </c>
      <c r="D12" s="7">
        <v>5</v>
      </c>
      <c r="E12" s="7"/>
      <c r="F12" s="7">
        <f t="shared" si="2"/>
        <v>22</v>
      </c>
      <c r="G12" s="7">
        <f t="shared" ref="G12:G14" si="15">($G$15-$G$11)/4+G11</f>
        <v>55.575</v>
      </c>
      <c r="H12" s="7">
        <v>1</v>
      </c>
      <c r="I12" s="7">
        <f t="shared" si="6"/>
        <v>303</v>
      </c>
      <c r="J12" s="7">
        <v>15</v>
      </c>
      <c r="K12" s="7" t="str">
        <f t="shared" si="11"/>
        <v/>
      </c>
      <c r="L12" s="7" t="str">
        <f t="shared" si="12"/>
        <v/>
      </c>
      <c r="M12">
        <v>220</v>
      </c>
      <c r="N12" s="7">
        <f t="shared" si="7"/>
        <v>303</v>
      </c>
      <c r="O12" s="7">
        <v>15</v>
      </c>
      <c r="P12" s="7" t="str">
        <f t="shared" si="13"/>
        <v/>
      </c>
      <c r="Q12" s="7" t="str">
        <f t="shared" si="14"/>
        <v/>
      </c>
      <c r="R12" s="7">
        <v>40</v>
      </c>
      <c r="S12" s="7">
        <f t="shared" si="4"/>
        <v>30</v>
      </c>
      <c r="T12" s="7"/>
      <c r="U12" s="7">
        <f t="shared" si="5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 t="shared" si="8"/>
        <v>1500</v>
      </c>
      <c r="C13" s="7">
        <f t="shared" si="0"/>
        <v>30</v>
      </c>
      <c r="D13" s="7">
        <v>8</v>
      </c>
      <c r="E13" s="7"/>
      <c r="F13" s="7">
        <f t="shared" si="2"/>
        <v>24</v>
      </c>
      <c r="G13" s="7">
        <f t="shared" si="15"/>
        <v>58.65</v>
      </c>
      <c r="H13" s="7">
        <v>3</v>
      </c>
      <c r="I13" s="7">
        <f t="shared" si="6"/>
        <v>303</v>
      </c>
      <c r="J13" s="7">
        <v>15</v>
      </c>
      <c r="K13" s="7">
        <f t="shared" si="11"/>
        <v>306</v>
      </c>
      <c r="L13" s="7">
        <f t="shared" si="12"/>
        <v>1</v>
      </c>
      <c r="M13">
        <v>270</v>
      </c>
      <c r="N13" s="7">
        <f t="shared" si="7"/>
        <v>303</v>
      </c>
      <c r="O13" s="7">
        <v>15</v>
      </c>
      <c r="P13" s="7">
        <f t="shared" si="13"/>
        <v>306</v>
      </c>
      <c r="Q13" s="7">
        <f t="shared" si="14"/>
        <v>1</v>
      </c>
      <c r="R13" s="7">
        <v>40</v>
      </c>
      <c r="S13" s="7">
        <f t="shared" si="4"/>
        <v>32</v>
      </c>
      <c r="T13" s="7"/>
      <c r="U13" s="7">
        <f t="shared" si="5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/>
      <c r="C14" s="7">
        <f t="shared" si="0"/>
        <v>0</v>
      </c>
      <c r="D14" s="7">
        <v>9</v>
      </c>
      <c r="E14" s="7"/>
      <c r="F14" s="7">
        <f t="shared" si="2"/>
        <v>0</v>
      </c>
      <c r="G14" s="7">
        <f t="shared" si="15"/>
        <v>61.725</v>
      </c>
      <c r="H14" s="7">
        <v>1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Y14" s="4"/>
      <c r="AA14" s="7"/>
    </row>
    <row r="15" spans="1:27">
      <c r="A15" s="7">
        <v>14</v>
      </c>
      <c r="B15" s="7"/>
      <c r="C15" s="7">
        <f t="shared" si="0"/>
        <v>0</v>
      </c>
      <c r="D15" s="7">
        <v>10</v>
      </c>
      <c r="E15" s="7"/>
      <c r="F15" s="7">
        <f t="shared" si="2"/>
        <v>0</v>
      </c>
      <c r="G15" s="7">
        <f>G31*0.2</f>
        <v>64.8</v>
      </c>
      <c r="H15" s="7">
        <v>1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Y15" s="4"/>
      <c r="AA15" s="7"/>
    </row>
    <row r="16" spans="1:27">
      <c r="A16" s="7">
        <v>15</v>
      </c>
      <c r="B16" s="7"/>
      <c r="C16" s="7">
        <f t="shared" si="0"/>
        <v>0</v>
      </c>
      <c r="D16" s="7">
        <v>11</v>
      </c>
      <c r="E16" s="7"/>
      <c r="F16" s="7">
        <f t="shared" si="2"/>
        <v>0</v>
      </c>
      <c r="G16" s="7">
        <f t="shared" ref="G16:G19" si="16">($G$20-$G$15)/5+G15</f>
        <v>77.76</v>
      </c>
      <c r="H16" s="7">
        <v>2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Y16" s="4"/>
      <c r="AA16" s="7"/>
    </row>
    <row r="17" spans="1:27">
      <c r="A17" s="7">
        <v>16</v>
      </c>
      <c r="B17" s="7"/>
      <c r="C17" s="7">
        <f t="shared" si="0"/>
        <v>0</v>
      </c>
      <c r="D17" s="7">
        <v>12</v>
      </c>
      <c r="E17" s="7"/>
      <c r="F17" s="7">
        <f t="shared" si="2"/>
        <v>0</v>
      </c>
      <c r="G17" s="7">
        <f t="shared" si="16"/>
        <v>90.72</v>
      </c>
      <c r="H17" s="7">
        <v>1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Y17" s="4"/>
      <c r="AA17" s="7"/>
    </row>
    <row r="18" spans="1:27">
      <c r="A18" s="7">
        <v>17</v>
      </c>
      <c r="B18" s="7"/>
      <c r="C18" s="7">
        <f t="shared" si="0"/>
        <v>0</v>
      </c>
      <c r="D18" s="7">
        <v>13</v>
      </c>
      <c r="E18" s="7"/>
      <c r="F18" s="7">
        <f t="shared" si="2"/>
        <v>0</v>
      </c>
      <c r="G18" s="7">
        <f t="shared" si="16"/>
        <v>103.68</v>
      </c>
      <c r="H18" s="7">
        <v>1</v>
      </c>
      <c r="I18" s="7"/>
      <c r="J18" s="7"/>
      <c r="K18" s="7"/>
      <c r="L18" s="7"/>
      <c r="N18" s="7"/>
      <c r="O18" s="7"/>
      <c r="P18" s="7"/>
      <c r="Q18" s="7"/>
      <c r="R18" s="7"/>
      <c r="S18" s="7"/>
      <c r="T18" s="7"/>
      <c r="U18" s="7"/>
      <c r="V18" s="7"/>
      <c r="Y18" s="4"/>
      <c r="AA18" s="7"/>
    </row>
    <row r="19" spans="1:27">
      <c r="A19" s="7">
        <v>18</v>
      </c>
      <c r="B19" s="7"/>
      <c r="C19" s="7">
        <f t="shared" si="0"/>
        <v>0</v>
      </c>
      <c r="D19" s="7">
        <v>14</v>
      </c>
      <c r="E19" s="7"/>
      <c r="F19" s="7">
        <f t="shared" si="2"/>
        <v>0</v>
      </c>
      <c r="G19" s="7">
        <f t="shared" si="16"/>
        <v>116.64</v>
      </c>
      <c r="H19" s="7">
        <v>1</v>
      </c>
      <c r="I19" s="7"/>
      <c r="J19" s="7"/>
      <c r="K19" s="7"/>
      <c r="L19" s="7"/>
      <c r="N19" s="7"/>
      <c r="O19" s="7"/>
      <c r="P19" s="7"/>
      <c r="Q19" s="7"/>
      <c r="R19" s="7"/>
      <c r="S19" s="7"/>
      <c r="T19" s="7"/>
      <c r="U19" s="7"/>
      <c r="V19" s="7"/>
      <c r="Y19" s="4"/>
      <c r="AA19" s="7"/>
    </row>
    <row r="20" spans="1:27">
      <c r="A20" s="7">
        <v>19</v>
      </c>
      <c r="B20" s="7"/>
      <c r="C20" s="7">
        <f>ROUNDDOWN((B20-M5)/$X$6,0)</f>
        <v>0</v>
      </c>
      <c r="D20" s="7">
        <v>15</v>
      </c>
      <c r="E20" s="7"/>
      <c r="F20" s="7">
        <f t="shared" si="2"/>
        <v>0</v>
      </c>
      <c r="G20" s="7">
        <f>G31*0.4</f>
        <v>129.6</v>
      </c>
      <c r="H20" s="7">
        <v>1</v>
      </c>
      <c r="I20" s="7"/>
      <c r="J20" s="7"/>
      <c r="K20" s="7"/>
      <c r="L20" s="7"/>
      <c r="N20" s="7"/>
      <c r="O20" s="7"/>
      <c r="P20" s="7"/>
      <c r="Q20" s="7"/>
      <c r="R20" s="7"/>
      <c r="S20" s="7"/>
      <c r="T20" s="7"/>
      <c r="U20" s="7"/>
      <c r="V20" s="7"/>
      <c r="Y20" s="4"/>
      <c r="AA20" s="7"/>
    </row>
    <row r="21" spans="1:27">
      <c r="A21" s="7">
        <v>20</v>
      </c>
      <c r="B21" s="7"/>
      <c r="C21" s="7">
        <v>0</v>
      </c>
      <c r="D21" s="7">
        <v>16</v>
      </c>
      <c r="E21" s="7"/>
      <c r="F21" s="7">
        <f t="shared" si="2"/>
        <v>0</v>
      </c>
      <c r="G21" s="7">
        <f t="shared" ref="G21:G24" si="17">($G$25-$G$20)/5+G20</f>
        <v>142.56</v>
      </c>
      <c r="H21" s="7">
        <v>3</v>
      </c>
      <c r="I21" s="7"/>
      <c r="J21" s="7"/>
      <c r="K21" s="7"/>
      <c r="L21" s="7"/>
      <c r="N21" s="7"/>
      <c r="O21" s="7"/>
      <c r="P21" s="7"/>
      <c r="Q21" s="7"/>
      <c r="R21" s="7"/>
      <c r="S21" s="7"/>
      <c r="T21" s="7"/>
      <c r="U21" s="7"/>
      <c r="V21" s="7"/>
      <c r="Y21" s="4"/>
      <c r="AA21" s="7"/>
    </row>
    <row r="22" spans="1:27">
      <c r="A22" s="7">
        <v>21</v>
      </c>
      <c r="B22" s="7"/>
      <c r="C22" s="7">
        <f t="shared" ref="C22:C33" si="18">ROUNDDOWN(B22/$X$6,0)</f>
        <v>0</v>
      </c>
      <c r="D22" s="7">
        <v>17</v>
      </c>
      <c r="E22" s="7"/>
      <c r="F22" s="7">
        <f t="shared" si="2"/>
        <v>0</v>
      </c>
      <c r="G22" s="7">
        <f t="shared" si="17"/>
        <v>155.52</v>
      </c>
      <c r="H22" s="7">
        <v>1</v>
      </c>
      <c r="I22" s="7"/>
      <c r="J22" s="7"/>
      <c r="K22" s="7"/>
      <c r="L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>
        <f t="shared" si="18"/>
        <v>0</v>
      </c>
      <c r="D23" s="7">
        <v>20</v>
      </c>
      <c r="E23" s="7"/>
      <c r="F23" s="7">
        <f t="shared" si="2"/>
        <v>0</v>
      </c>
      <c r="G23" s="7">
        <f t="shared" si="17"/>
        <v>168.48</v>
      </c>
      <c r="H23" s="7">
        <v>1</v>
      </c>
      <c r="I23" s="7"/>
      <c r="J23" s="7"/>
      <c r="K23" s="7"/>
      <c r="L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>
        <f t="shared" si="18"/>
        <v>0</v>
      </c>
      <c r="D24" s="7">
        <v>21</v>
      </c>
      <c r="E24" s="7"/>
      <c r="F24" s="7">
        <f t="shared" si="2"/>
        <v>0</v>
      </c>
      <c r="G24" s="7">
        <f t="shared" si="17"/>
        <v>181.44</v>
      </c>
      <c r="H24" s="7">
        <v>1</v>
      </c>
      <c r="I24" s="7"/>
      <c r="J24" s="7"/>
      <c r="K24" s="7"/>
      <c r="L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>
        <f t="shared" si="18"/>
        <v>0</v>
      </c>
      <c r="D25" s="7">
        <v>22</v>
      </c>
      <c r="E25" s="7"/>
      <c r="F25" s="7">
        <f t="shared" si="2"/>
        <v>0</v>
      </c>
      <c r="G25" s="7">
        <f>G31*0.6</f>
        <v>194.4</v>
      </c>
      <c r="H25" s="7">
        <v>1</v>
      </c>
      <c r="I25" s="7"/>
      <c r="J25" s="7"/>
      <c r="K25" s="7"/>
      <c r="L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>
        <f t="shared" si="18"/>
        <v>0</v>
      </c>
      <c r="D26" s="7">
        <v>23</v>
      </c>
      <c r="E26" s="7"/>
      <c r="F26" s="7">
        <f t="shared" si="2"/>
        <v>0</v>
      </c>
      <c r="G26" s="7">
        <f t="shared" ref="G26:G29" si="19">($G$30-$G$25)/5+G25</f>
        <v>210.6</v>
      </c>
      <c r="H26" s="7">
        <v>2</v>
      </c>
      <c r="I26" s="7"/>
      <c r="J26" s="7"/>
      <c r="K26" s="7"/>
      <c r="L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>
        <f t="shared" si="18"/>
        <v>0</v>
      </c>
      <c r="D27" s="7">
        <v>24</v>
      </c>
      <c r="E27" s="7"/>
      <c r="F27" s="7">
        <f t="shared" si="2"/>
        <v>0</v>
      </c>
      <c r="G27" s="7">
        <f t="shared" si="19"/>
        <v>226.8</v>
      </c>
      <c r="H27" s="7">
        <v>1</v>
      </c>
      <c r="I27" s="7"/>
      <c r="J27" s="7"/>
      <c r="K27" s="7"/>
      <c r="L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>
        <f t="shared" si="18"/>
        <v>0</v>
      </c>
      <c r="D28" s="7">
        <v>25</v>
      </c>
      <c r="E28" s="7"/>
      <c r="F28" s="7">
        <f t="shared" si="2"/>
        <v>0</v>
      </c>
      <c r="G28" s="7">
        <f t="shared" si="19"/>
        <v>243</v>
      </c>
      <c r="H28" s="7">
        <v>1</v>
      </c>
      <c r="I28" s="7"/>
      <c r="J28" s="7"/>
      <c r="K28" s="7"/>
      <c r="L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>
        <f t="shared" si="18"/>
        <v>0</v>
      </c>
      <c r="D29" s="7">
        <v>26</v>
      </c>
      <c r="E29" s="7"/>
      <c r="F29" s="7">
        <f t="shared" si="2"/>
        <v>0</v>
      </c>
      <c r="G29" s="7">
        <f t="shared" si="19"/>
        <v>259.2</v>
      </c>
      <c r="H29" s="7">
        <v>1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>
        <f t="shared" si="18"/>
        <v>0</v>
      </c>
      <c r="D30" s="7">
        <v>27</v>
      </c>
      <c r="E30" s="7"/>
      <c r="F30" s="7">
        <f t="shared" si="2"/>
        <v>0</v>
      </c>
      <c r="G30" s="7">
        <f>G31*0.85</f>
        <v>275.4</v>
      </c>
      <c r="H30" s="7">
        <v>1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>
        <f t="shared" si="18"/>
        <v>0</v>
      </c>
      <c r="D31" s="7">
        <v>28</v>
      </c>
      <c r="E31" s="7"/>
      <c r="F31" s="7">
        <f t="shared" si="2"/>
        <v>0</v>
      </c>
      <c r="G31" s="7">
        <v>324</v>
      </c>
      <c r="H31" s="7">
        <v>3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>
        <f t="shared" si="18"/>
        <v>0</v>
      </c>
      <c r="D32" s="7"/>
      <c r="E32" s="7"/>
      <c r="F32" s="7">
        <f t="shared" si="2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326</v>
      </c>
      <c r="V32" s="7"/>
      <c r="Y32" s="4"/>
      <c r="AA32" s="7"/>
    </row>
    <row r="33" spans="1:27">
      <c r="A33" s="7"/>
      <c r="B33" s="7"/>
      <c r="C33" s="7">
        <f t="shared" si="18"/>
        <v>0</v>
      </c>
      <c r="D33" s="7"/>
      <c r="E33" s="7"/>
      <c r="F33" s="7">
        <f t="shared" si="2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I51" si="20">IF(I2="","",_xlfn.TEXTJOIN(",",TRUE,I2:J2))</f>
        <v>301,10</v>
      </c>
      <c r="J40" s="7" t="str">
        <f t="shared" ref="J40:J69" si="21">IF(I40="","",_xlfn.TEXTJOIN(",",TRUE,I40,H40))</f>
        <v>301,10,1</v>
      </c>
      <c r="K40" s="7" t="str">
        <f t="shared" ref="K40:K51" si="22">IF(K2="","",_xlfn.TEXTJOIN(",",TRUE,K2:L2))</f>
        <v/>
      </c>
      <c r="L40" s="7" t="str">
        <f t="shared" ref="L40:L69" si="23">IF(K40="","",_xlfn.TEXTJOIN(",",TRUE,K40,H40))</f>
        <v/>
      </c>
      <c r="M40" s="7" t="str">
        <f t="shared" ref="M40:M69" si="24">_xlfn.TEXTJOIN(";",TRUE,J40,L40)</f>
        <v>301,10,1</v>
      </c>
      <c r="N40" s="7" t="str">
        <f t="shared" ref="N40:N51" si="25">IF(N2="","",_xlfn.TEXTJOIN(",",TRUE,N2:O2))</f>
        <v>301,10</v>
      </c>
      <c r="O40" s="7" t="str">
        <f t="shared" ref="O40:O69" si="26">IF(N40="","",N40&amp;","&amp;H40)</f>
        <v>301,10,1</v>
      </c>
      <c r="P40" s="7" t="str">
        <f t="shared" ref="P40:P69" si="27">IF(P2="","",P2&amp;","&amp;Q2)</f>
        <v/>
      </c>
      <c r="Q40" s="7" t="str">
        <f t="shared" ref="Q40:Q69" si="28">IF(P40="","",P40&amp;","&amp;H40)</f>
        <v/>
      </c>
      <c r="R40" s="7" t="str">
        <f t="shared" ref="R40:R69" si="29">_xlfn.TEXTJOIN(";",TRUE,O40,Q40)</f>
        <v>301,10,1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si="20"/>
        <v>301,10</v>
      </c>
      <c r="J41" s="7" t="str">
        <f t="shared" si="21"/>
        <v>301,10,2</v>
      </c>
      <c r="K41" s="7" t="str">
        <f t="shared" si="22"/>
        <v/>
      </c>
      <c r="L41" s="7" t="str">
        <f t="shared" si="23"/>
        <v/>
      </c>
      <c r="M41" s="7" t="str">
        <f t="shared" si="24"/>
        <v>301,10,2</v>
      </c>
      <c r="N41" s="7" t="str">
        <f t="shared" si="25"/>
        <v>301,10</v>
      </c>
      <c r="O41" s="7" t="str">
        <f t="shared" si="26"/>
        <v>301,10,2</v>
      </c>
      <c r="P41" s="7" t="str">
        <f t="shared" si="27"/>
        <v/>
      </c>
      <c r="Q41" s="7" t="str">
        <f t="shared" si="28"/>
        <v/>
      </c>
      <c r="R41" s="7" t="str">
        <f t="shared" si="29"/>
        <v>301,10,2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si="20"/>
        <v>301,10</v>
      </c>
      <c r="J42" s="7" t="str">
        <f t="shared" si="21"/>
        <v>301,10,3</v>
      </c>
      <c r="K42" s="7" t="str">
        <f t="shared" si="22"/>
        <v/>
      </c>
      <c r="L42" s="7" t="str">
        <f t="shared" si="23"/>
        <v/>
      </c>
      <c r="M42" s="7" t="str">
        <f t="shared" si="24"/>
        <v>301,10,3</v>
      </c>
      <c r="N42" s="7" t="str">
        <f t="shared" si="25"/>
        <v>301,10</v>
      </c>
      <c r="O42" s="7" t="str">
        <f t="shared" si="26"/>
        <v>301,10,3</v>
      </c>
      <c r="P42" s="7" t="str">
        <f t="shared" si="27"/>
        <v/>
      </c>
      <c r="Q42" s="7" t="str">
        <f t="shared" si="28"/>
        <v/>
      </c>
      <c r="R42" s="7" t="str">
        <f t="shared" si="29"/>
        <v>301,10,3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si="20"/>
        <v>301,10</v>
      </c>
      <c r="J43" s="7" t="str">
        <f t="shared" si="21"/>
        <v>301,10,4</v>
      </c>
      <c r="K43" s="7" t="str">
        <f t="shared" si="22"/>
        <v>305,5</v>
      </c>
      <c r="L43" s="7" t="str">
        <f t="shared" si="23"/>
        <v>305,5,4</v>
      </c>
      <c r="M43" s="7" t="str">
        <f t="shared" si="24"/>
        <v>301,10,4;305,5,4</v>
      </c>
      <c r="N43" s="7" t="str">
        <f t="shared" si="25"/>
        <v>301,10</v>
      </c>
      <c r="O43" s="7" t="str">
        <f t="shared" si="26"/>
        <v>301,10,4</v>
      </c>
      <c r="P43" s="7" t="str">
        <f t="shared" si="27"/>
        <v>305,5</v>
      </c>
      <c r="Q43" s="7" t="str">
        <f t="shared" si="28"/>
        <v>305,5,4</v>
      </c>
      <c r="R43" s="7" t="str">
        <f t="shared" si="29"/>
        <v>301,10,4;305,5,4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si="20"/>
        <v>302,5</v>
      </c>
      <c r="J44" s="7" t="str">
        <f t="shared" si="21"/>
        <v>302,5,5</v>
      </c>
      <c r="K44" s="7" t="str">
        <f t="shared" si="22"/>
        <v/>
      </c>
      <c r="L44" s="7" t="str">
        <f t="shared" si="23"/>
        <v/>
      </c>
      <c r="M44" s="7" t="str">
        <f t="shared" si="24"/>
        <v>302,5,5</v>
      </c>
      <c r="N44" s="7" t="str">
        <f t="shared" si="25"/>
        <v>302,5</v>
      </c>
      <c r="O44" s="7" t="str">
        <f t="shared" si="26"/>
        <v>302,5,5</v>
      </c>
      <c r="P44" s="7" t="str">
        <f t="shared" si="27"/>
        <v/>
      </c>
      <c r="Q44" s="7" t="str">
        <f t="shared" si="28"/>
        <v/>
      </c>
      <c r="R44" s="7" t="str">
        <f t="shared" si="29"/>
        <v>302,5,5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si="20"/>
        <v>302,10</v>
      </c>
      <c r="J45" s="7" t="str">
        <f t="shared" si="21"/>
        <v>302,10,6</v>
      </c>
      <c r="K45" s="7" t="str">
        <f t="shared" si="22"/>
        <v/>
      </c>
      <c r="L45" s="7" t="str">
        <f t="shared" si="23"/>
        <v/>
      </c>
      <c r="M45" s="7" t="str">
        <f t="shared" si="24"/>
        <v>302,10,6</v>
      </c>
      <c r="N45" s="7" t="str">
        <f t="shared" si="25"/>
        <v>302,10</v>
      </c>
      <c r="O45" s="7" t="str">
        <f t="shared" si="26"/>
        <v>302,10,6</v>
      </c>
      <c r="P45" s="7" t="str">
        <f t="shared" si="27"/>
        <v/>
      </c>
      <c r="Q45" s="7" t="str">
        <f t="shared" si="28"/>
        <v/>
      </c>
      <c r="R45" s="7" t="str">
        <f t="shared" si="29"/>
        <v>302,10,6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si="20"/>
        <v>302,10</v>
      </c>
      <c r="J46" s="7" t="str">
        <f t="shared" si="21"/>
        <v>302,10,7</v>
      </c>
      <c r="K46" s="7" t="str">
        <f t="shared" si="22"/>
        <v/>
      </c>
      <c r="L46" s="7" t="str">
        <f t="shared" si="23"/>
        <v/>
      </c>
      <c r="M46" s="7" t="str">
        <f t="shared" si="24"/>
        <v>302,10,7</v>
      </c>
      <c r="N46" s="7" t="str">
        <f t="shared" si="25"/>
        <v>302,10</v>
      </c>
      <c r="O46" s="7" t="str">
        <f t="shared" si="26"/>
        <v>302,10,7</v>
      </c>
      <c r="P46" s="7" t="str">
        <f t="shared" si="27"/>
        <v/>
      </c>
      <c r="Q46" s="7" t="str">
        <f t="shared" si="28"/>
        <v/>
      </c>
      <c r="R46" s="7" t="str">
        <f t="shared" si="29"/>
        <v>302,10,7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si="20"/>
        <v>302,10</v>
      </c>
      <c r="J47" s="7" t="str">
        <f t="shared" si="21"/>
        <v>302,10,8</v>
      </c>
      <c r="K47" s="7" t="str">
        <f t="shared" si="22"/>
        <v>305,5</v>
      </c>
      <c r="L47" s="7" t="str">
        <f t="shared" si="23"/>
        <v>305,5,8</v>
      </c>
      <c r="M47" s="7" t="str">
        <f t="shared" si="24"/>
        <v>302,10,8;305,5,8</v>
      </c>
      <c r="N47" s="7" t="str">
        <f t="shared" si="25"/>
        <v>302,10</v>
      </c>
      <c r="O47" s="7" t="str">
        <f t="shared" si="26"/>
        <v>302,10,8</v>
      </c>
      <c r="P47" s="7" t="str">
        <f t="shared" si="27"/>
        <v>305,5</v>
      </c>
      <c r="Q47" s="7" t="str">
        <f t="shared" si="28"/>
        <v>305,5,8</v>
      </c>
      <c r="R47" s="7" t="str">
        <f t="shared" si="29"/>
        <v>302,10,8;305,5,8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si="20"/>
        <v>302,15</v>
      </c>
      <c r="J48" s="7" t="str">
        <f t="shared" si="21"/>
        <v>302,15,9</v>
      </c>
      <c r="K48" s="7" t="str">
        <f t="shared" si="22"/>
        <v/>
      </c>
      <c r="L48" s="7" t="str">
        <f t="shared" si="23"/>
        <v/>
      </c>
      <c r="M48" s="7" t="str">
        <f t="shared" si="24"/>
        <v>302,15,9</v>
      </c>
      <c r="N48" s="7" t="str">
        <f t="shared" si="25"/>
        <v>302,15</v>
      </c>
      <c r="O48" s="7" t="str">
        <f t="shared" si="26"/>
        <v>302,15,9</v>
      </c>
      <c r="P48" s="7" t="str">
        <f t="shared" si="27"/>
        <v/>
      </c>
      <c r="Q48" s="7" t="str">
        <f t="shared" si="28"/>
        <v/>
      </c>
      <c r="R48" s="7" t="str">
        <f t="shared" si="29"/>
        <v>302,15,9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si="20"/>
        <v>302,15</v>
      </c>
      <c r="J49" s="7" t="str">
        <f t="shared" si="21"/>
        <v>302,15,10</v>
      </c>
      <c r="K49" s="7" t="str">
        <f t="shared" si="22"/>
        <v/>
      </c>
      <c r="L49" s="7" t="str">
        <f t="shared" si="23"/>
        <v/>
      </c>
      <c r="M49" s="7" t="str">
        <f t="shared" si="24"/>
        <v>302,15,10</v>
      </c>
      <c r="N49" s="7" t="str">
        <f t="shared" si="25"/>
        <v>302,15</v>
      </c>
      <c r="O49" s="7" t="str">
        <f t="shared" si="26"/>
        <v>302,15,10</v>
      </c>
      <c r="P49" s="7" t="str">
        <f t="shared" si="27"/>
        <v/>
      </c>
      <c r="Q49" s="7" t="str">
        <f t="shared" si="28"/>
        <v/>
      </c>
      <c r="R49" s="7" t="str">
        <f t="shared" si="29"/>
        <v>302,15,10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si="20"/>
        <v>303,15</v>
      </c>
      <c r="J50" s="7" t="str">
        <f t="shared" si="21"/>
        <v>303,15,11</v>
      </c>
      <c r="K50" s="7" t="str">
        <f t="shared" si="22"/>
        <v/>
      </c>
      <c r="L50" s="7" t="str">
        <f t="shared" si="23"/>
        <v/>
      </c>
      <c r="M50" s="7" t="str">
        <f t="shared" si="24"/>
        <v>303,15,11</v>
      </c>
      <c r="N50" s="7" t="str">
        <f t="shared" si="25"/>
        <v>303,15</v>
      </c>
      <c r="O50" s="7" t="str">
        <f t="shared" si="26"/>
        <v>303,15,11</v>
      </c>
      <c r="P50" s="7" t="str">
        <f t="shared" si="27"/>
        <v/>
      </c>
      <c r="Q50" s="7" t="str">
        <f t="shared" si="28"/>
        <v/>
      </c>
      <c r="R50" s="7" t="str">
        <f t="shared" si="29"/>
        <v>303,15,11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si="20"/>
        <v>303,15</v>
      </c>
      <c r="J51" s="7" t="str">
        <f t="shared" si="21"/>
        <v>303,15,12</v>
      </c>
      <c r="K51" s="7" t="str">
        <f t="shared" si="22"/>
        <v>306,1</v>
      </c>
      <c r="L51" s="7" t="str">
        <f t="shared" si="23"/>
        <v>306,1,12</v>
      </c>
      <c r="M51" s="7" t="str">
        <f t="shared" si="24"/>
        <v>303,15,12;306,1,12</v>
      </c>
      <c r="N51" s="7" t="str">
        <f t="shared" si="25"/>
        <v>303,15</v>
      </c>
      <c r="O51" s="7" t="str">
        <f t="shared" si="26"/>
        <v>303,15,12</v>
      </c>
      <c r="P51" s="7" t="str">
        <f t="shared" si="27"/>
        <v>306,1</v>
      </c>
      <c r="Q51" s="7" t="str">
        <f t="shared" si="28"/>
        <v>306,1,12</v>
      </c>
      <c r="R51" s="7" t="str">
        <f t="shared" si="29"/>
        <v>303,15,12;306,1,12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0">IF(I14="","",_xlfn.TEXTJOIN(",",TRUE,I14:J14))</f>
        <v/>
      </c>
      <c r="J52" s="7" t="str">
        <f t="shared" si="21"/>
        <v/>
      </c>
      <c r="K52" s="7" t="str">
        <f t="shared" si="30"/>
        <v/>
      </c>
      <c r="L52" s="7" t="str">
        <f t="shared" si="23"/>
        <v/>
      </c>
      <c r="M52" s="7" t="str">
        <f t="shared" si="24"/>
        <v/>
      </c>
      <c r="N52" s="7" t="str">
        <f t="shared" si="30"/>
        <v/>
      </c>
      <c r="O52" s="7" t="str">
        <f t="shared" si="26"/>
        <v/>
      </c>
      <c r="P52" s="7" t="str">
        <f t="shared" si="27"/>
        <v/>
      </c>
      <c r="Q52" s="7" t="str">
        <f t="shared" si="28"/>
        <v/>
      </c>
      <c r="R52" s="7" t="str">
        <f t="shared" si="2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1">IF(I15="","",_xlfn.TEXTJOIN(",",TRUE,I15:J15))</f>
        <v/>
      </c>
      <c r="J53" s="7" t="str">
        <f t="shared" si="21"/>
        <v/>
      </c>
      <c r="K53" s="7" t="str">
        <f t="shared" si="31"/>
        <v/>
      </c>
      <c r="L53" s="7" t="str">
        <f t="shared" si="23"/>
        <v/>
      </c>
      <c r="M53" s="7" t="str">
        <f t="shared" si="24"/>
        <v/>
      </c>
      <c r="N53" s="7" t="str">
        <f t="shared" si="31"/>
        <v/>
      </c>
      <c r="O53" s="7" t="str">
        <f t="shared" si="26"/>
        <v/>
      </c>
      <c r="P53" s="7" t="str">
        <f t="shared" si="27"/>
        <v/>
      </c>
      <c r="Q53" s="7" t="str">
        <f t="shared" si="28"/>
        <v/>
      </c>
      <c r="R53" s="7" t="str">
        <f t="shared" si="2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2">IF(I16="","",_xlfn.TEXTJOIN(",",TRUE,I16:J16))</f>
        <v/>
      </c>
      <c r="J54" s="7" t="str">
        <f t="shared" si="21"/>
        <v/>
      </c>
      <c r="K54" s="7" t="str">
        <f t="shared" si="32"/>
        <v/>
      </c>
      <c r="L54" s="7" t="str">
        <f t="shared" si="23"/>
        <v/>
      </c>
      <c r="M54" s="7" t="str">
        <f t="shared" si="24"/>
        <v/>
      </c>
      <c r="N54" s="7" t="str">
        <f t="shared" si="32"/>
        <v/>
      </c>
      <c r="O54" s="7" t="str">
        <f t="shared" si="26"/>
        <v/>
      </c>
      <c r="P54" s="7" t="str">
        <f t="shared" si="27"/>
        <v/>
      </c>
      <c r="Q54" s="7" t="str">
        <f t="shared" si="28"/>
        <v/>
      </c>
      <c r="R54" s="7" t="str">
        <f t="shared" si="2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3">IF(I17="","",_xlfn.TEXTJOIN(",",TRUE,I17:J17))</f>
        <v/>
      </c>
      <c r="J55" s="7" t="str">
        <f t="shared" si="21"/>
        <v/>
      </c>
      <c r="K55" s="7" t="str">
        <f t="shared" si="33"/>
        <v/>
      </c>
      <c r="L55" s="7" t="str">
        <f t="shared" si="23"/>
        <v/>
      </c>
      <c r="M55" s="7" t="str">
        <f t="shared" si="24"/>
        <v/>
      </c>
      <c r="N55" s="7" t="str">
        <f t="shared" si="33"/>
        <v/>
      </c>
      <c r="O55" s="7" t="str">
        <f t="shared" si="26"/>
        <v/>
      </c>
      <c r="P55" s="7" t="str">
        <f t="shared" si="27"/>
        <v/>
      </c>
      <c r="Q55" s="7" t="str">
        <f t="shared" si="28"/>
        <v/>
      </c>
      <c r="R55" s="7" t="str">
        <f t="shared" si="2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4">IF(I18="","",_xlfn.TEXTJOIN(",",TRUE,I18:J18))</f>
        <v/>
      </c>
      <c r="J56" s="7" t="str">
        <f t="shared" si="21"/>
        <v/>
      </c>
      <c r="K56" s="7" t="str">
        <f t="shared" si="34"/>
        <v/>
      </c>
      <c r="L56" s="7" t="str">
        <f t="shared" si="23"/>
        <v/>
      </c>
      <c r="M56" s="7" t="str">
        <f t="shared" si="24"/>
        <v/>
      </c>
      <c r="N56" s="7" t="str">
        <f t="shared" si="34"/>
        <v/>
      </c>
      <c r="O56" s="7" t="str">
        <f t="shared" si="26"/>
        <v/>
      </c>
      <c r="P56" s="7" t="str">
        <f t="shared" si="27"/>
        <v/>
      </c>
      <c r="Q56" s="7" t="str">
        <f t="shared" si="28"/>
        <v/>
      </c>
      <c r="R56" s="7" t="str">
        <f t="shared" si="2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5">IF(I19="","",_xlfn.TEXTJOIN(",",TRUE,I19:J19))</f>
        <v/>
      </c>
      <c r="J57" s="7" t="str">
        <f t="shared" si="21"/>
        <v/>
      </c>
      <c r="K57" s="7" t="str">
        <f t="shared" si="35"/>
        <v/>
      </c>
      <c r="L57" s="7" t="str">
        <f t="shared" si="23"/>
        <v/>
      </c>
      <c r="M57" s="7" t="str">
        <f t="shared" si="24"/>
        <v/>
      </c>
      <c r="N57" s="7" t="str">
        <f t="shared" si="35"/>
        <v/>
      </c>
      <c r="O57" s="7" t="str">
        <f t="shared" si="26"/>
        <v/>
      </c>
      <c r="P57" s="7" t="str">
        <f t="shared" si="27"/>
        <v/>
      </c>
      <c r="Q57" s="7" t="str">
        <f t="shared" si="28"/>
        <v/>
      </c>
      <c r="R57" s="7" t="str">
        <f t="shared" si="2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I66" si="36">IF(I20="","",_xlfn.TEXTJOIN(",",TRUE,I20:J20))</f>
        <v/>
      </c>
      <c r="J58" s="7" t="str">
        <f t="shared" si="21"/>
        <v/>
      </c>
      <c r="K58" s="7" t="str">
        <f t="shared" ref="K58:K66" si="37">IF(K20="","",_xlfn.TEXTJOIN(",",TRUE,K20:L20))</f>
        <v/>
      </c>
      <c r="L58" s="7" t="str">
        <f t="shared" si="23"/>
        <v/>
      </c>
      <c r="M58" s="7" t="str">
        <f t="shared" si="24"/>
        <v/>
      </c>
      <c r="N58" s="7" t="str">
        <f t="shared" ref="N58:N66" si="38">IF(N20="","",_xlfn.TEXTJOIN(",",TRUE,N20:O20))</f>
        <v/>
      </c>
      <c r="O58" s="7" t="str">
        <f t="shared" si="26"/>
        <v/>
      </c>
      <c r="P58" s="7" t="str">
        <f t="shared" si="27"/>
        <v/>
      </c>
      <c r="Q58" s="7" t="str">
        <f t="shared" si="28"/>
        <v/>
      </c>
      <c r="R58" s="7" t="str">
        <f t="shared" si="2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si="36"/>
        <v/>
      </c>
      <c r="J59" s="7" t="str">
        <f t="shared" si="21"/>
        <v/>
      </c>
      <c r="K59" s="7" t="str">
        <f t="shared" si="37"/>
        <v/>
      </c>
      <c r="L59" s="7" t="str">
        <f t="shared" si="23"/>
        <v/>
      </c>
      <c r="M59" s="7" t="str">
        <f t="shared" si="24"/>
        <v/>
      </c>
      <c r="N59" s="7" t="str">
        <f t="shared" si="38"/>
        <v/>
      </c>
      <c r="O59" s="7" t="str">
        <f t="shared" si="26"/>
        <v/>
      </c>
      <c r="P59" s="7" t="str">
        <f t="shared" si="27"/>
        <v/>
      </c>
      <c r="Q59" s="7" t="str">
        <f t="shared" si="28"/>
        <v/>
      </c>
      <c r="R59" s="7" t="str">
        <f t="shared" si="2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si="36"/>
        <v/>
      </c>
      <c r="J60" s="7" t="str">
        <f t="shared" si="21"/>
        <v/>
      </c>
      <c r="K60" s="7" t="str">
        <f t="shared" si="37"/>
        <v/>
      </c>
      <c r="L60" s="7" t="str">
        <f t="shared" si="23"/>
        <v/>
      </c>
      <c r="M60" s="7" t="str">
        <f t="shared" si="24"/>
        <v/>
      </c>
      <c r="N60" s="7" t="str">
        <f t="shared" si="38"/>
        <v/>
      </c>
      <c r="O60" s="7" t="str">
        <f t="shared" si="26"/>
        <v/>
      </c>
      <c r="P60" s="7" t="str">
        <f t="shared" si="27"/>
        <v/>
      </c>
      <c r="Q60" s="7" t="str">
        <f t="shared" si="28"/>
        <v/>
      </c>
      <c r="R60" s="7" t="str">
        <f t="shared" si="2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si="36"/>
        <v/>
      </c>
      <c r="J61" s="7" t="str">
        <f t="shared" si="21"/>
        <v/>
      </c>
      <c r="K61" s="7" t="str">
        <f t="shared" si="37"/>
        <v/>
      </c>
      <c r="L61" s="7" t="str">
        <f t="shared" si="23"/>
        <v/>
      </c>
      <c r="M61" s="7" t="str">
        <f t="shared" si="24"/>
        <v/>
      </c>
      <c r="N61" s="7" t="str">
        <f t="shared" si="38"/>
        <v/>
      </c>
      <c r="O61" s="7" t="str">
        <f t="shared" si="26"/>
        <v/>
      </c>
      <c r="P61" s="7" t="str">
        <f t="shared" si="27"/>
        <v/>
      </c>
      <c r="Q61" s="7" t="str">
        <f t="shared" si="28"/>
        <v/>
      </c>
      <c r="R61" s="7" t="str">
        <f t="shared" si="2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si="36"/>
        <v/>
      </c>
      <c r="J62" s="7" t="str">
        <f t="shared" si="21"/>
        <v/>
      </c>
      <c r="K62" s="7" t="str">
        <f t="shared" si="37"/>
        <v/>
      </c>
      <c r="L62" s="7" t="str">
        <f t="shared" si="23"/>
        <v/>
      </c>
      <c r="M62" s="7" t="str">
        <f t="shared" si="24"/>
        <v/>
      </c>
      <c r="N62" s="7" t="str">
        <f t="shared" si="38"/>
        <v/>
      </c>
      <c r="O62" s="7" t="str">
        <f t="shared" si="26"/>
        <v/>
      </c>
      <c r="P62" s="7" t="str">
        <f t="shared" si="27"/>
        <v/>
      </c>
      <c r="Q62" s="7" t="str">
        <f t="shared" si="28"/>
        <v/>
      </c>
      <c r="R62" s="7" t="str">
        <f t="shared" si="2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si="36"/>
        <v/>
      </c>
      <c r="J63" s="7" t="str">
        <f t="shared" si="21"/>
        <v/>
      </c>
      <c r="K63" s="7" t="str">
        <f t="shared" si="37"/>
        <v/>
      </c>
      <c r="L63" s="7" t="str">
        <f t="shared" si="23"/>
        <v/>
      </c>
      <c r="M63" s="7" t="str">
        <f t="shared" si="24"/>
        <v/>
      </c>
      <c r="N63" s="7" t="str">
        <f t="shared" si="38"/>
        <v/>
      </c>
      <c r="O63" s="7" t="str">
        <f t="shared" si="26"/>
        <v/>
      </c>
      <c r="P63" s="7" t="str">
        <f t="shared" si="27"/>
        <v/>
      </c>
      <c r="Q63" s="7" t="str">
        <f t="shared" si="28"/>
        <v/>
      </c>
      <c r="R63" s="7" t="str">
        <f t="shared" si="2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si="36"/>
        <v/>
      </c>
      <c r="J64" s="7" t="str">
        <f t="shared" si="21"/>
        <v/>
      </c>
      <c r="K64" s="7" t="str">
        <f t="shared" si="37"/>
        <v/>
      </c>
      <c r="L64" s="7" t="str">
        <f t="shared" si="23"/>
        <v/>
      </c>
      <c r="M64" s="7" t="str">
        <f t="shared" si="24"/>
        <v/>
      </c>
      <c r="N64" s="7" t="str">
        <f t="shared" si="38"/>
        <v/>
      </c>
      <c r="O64" s="7" t="str">
        <f t="shared" si="26"/>
        <v/>
      </c>
      <c r="P64" s="7" t="str">
        <f t="shared" si="27"/>
        <v/>
      </c>
      <c r="Q64" s="7" t="str">
        <f t="shared" si="28"/>
        <v/>
      </c>
      <c r="R64" s="7" t="str">
        <f t="shared" si="2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si="36"/>
        <v/>
      </c>
      <c r="J65" s="7" t="str">
        <f t="shared" si="21"/>
        <v/>
      </c>
      <c r="K65" s="7" t="str">
        <f t="shared" si="37"/>
        <v/>
      </c>
      <c r="L65" s="7" t="str">
        <f t="shared" si="23"/>
        <v/>
      </c>
      <c r="M65" s="7" t="str">
        <f t="shared" si="24"/>
        <v/>
      </c>
      <c r="N65" s="7" t="str">
        <f t="shared" si="38"/>
        <v/>
      </c>
      <c r="O65" s="7" t="str">
        <f t="shared" si="26"/>
        <v/>
      </c>
      <c r="P65" s="7" t="str">
        <f t="shared" si="27"/>
        <v/>
      </c>
      <c r="Q65" s="7" t="str">
        <f t="shared" si="28"/>
        <v/>
      </c>
      <c r="R65" s="7" t="str">
        <f t="shared" si="2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si="36"/>
        <v/>
      </c>
      <c r="J66" s="7" t="str">
        <f t="shared" si="21"/>
        <v/>
      </c>
      <c r="K66" s="7" t="str">
        <f t="shared" si="37"/>
        <v/>
      </c>
      <c r="L66" s="7" t="str">
        <f t="shared" si="23"/>
        <v/>
      </c>
      <c r="M66" s="7" t="str">
        <f t="shared" si="24"/>
        <v/>
      </c>
      <c r="N66" s="7" t="str">
        <f t="shared" si="38"/>
        <v/>
      </c>
      <c r="O66" s="7" t="str">
        <f t="shared" si="26"/>
        <v/>
      </c>
      <c r="P66" s="7" t="str">
        <f t="shared" si="27"/>
        <v/>
      </c>
      <c r="Q66" s="7" t="str">
        <f t="shared" si="28"/>
        <v/>
      </c>
      <c r="R66" s="7" t="str">
        <f t="shared" si="2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39">IF(I29="","",_xlfn.TEXTJOIN(",",TRUE,I29:J29))</f>
        <v/>
      </c>
      <c r="J67" s="7" t="str">
        <f t="shared" si="21"/>
        <v/>
      </c>
      <c r="K67" s="7" t="str">
        <f t="shared" si="39"/>
        <v/>
      </c>
      <c r="L67" s="7" t="str">
        <f t="shared" si="23"/>
        <v/>
      </c>
      <c r="M67" s="7" t="str">
        <f t="shared" si="24"/>
        <v/>
      </c>
      <c r="N67" s="7" t="str">
        <f t="shared" si="39"/>
        <v/>
      </c>
      <c r="O67" s="7" t="str">
        <f t="shared" si="26"/>
        <v/>
      </c>
      <c r="P67" s="7" t="str">
        <f t="shared" si="27"/>
        <v/>
      </c>
      <c r="Q67" s="7" t="str">
        <f t="shared" si="28"/>
        <v/>
      </c>
      <c r="R67" s="7" t="str">
        <f t="shared" si="2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0">IF(I30="","",_xlfn.TEXTJOIN(",",TRUE,I30:J30))</f>
        <v/>
      </c>
      <c r="J68" s="7" t="str">
        <f t="shared" si="21"/>
        <v/>
      </c>
      <c r="K68" s="7" t="str">
        <f t="shared" si="40"/>
        <v/>
      </c>
      <c r="L68" s="7" t="str">
        <f t="shared" si="23"/>
        <v/>
      </c>
      <c r="M68" s="7" t="str">
        <f t="shared" si="24"/>
        <v/>
      </c>
      <c r="N68" s="7" t="str">
        <f t="shared" si="40"/>
        <v/>
      </c>
      <c r="O68" s="7" t="str">
        <f t="shared" si="26"/>
        <v/>
      </c>
      <c r="P68" s="7" t="str">
        <f t="shared" si="27"/>
        <v/>
      </c>
      <c r="Q68" s="7" t="str">
        <f t="shared" si="28"/>
        <v/>
      </c>
      <c r="R68" s="7" t="str">
        <f t="shared" si="2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1">IF(I31="","",_xlfn.TEXTJOIN(",",TRUE,I31:J31))</f>
        <v/>
      </c>
      <c r="J69" s="7" t="str">
        <f t="shared" si="21"/>
        <v/>
      </c>
      <c r="K69" s="7" t="str">
        <f t="shared" si="41"/>
        <v/>
      </c>
      <c r="L69" s="7" t="str">
        <f t="shared" si="23"/>
        <v/>
      </c>
      <c r="M69" s="7" t="str">
        <f t="shared" si="24"/>
        <v/>
      </c>
      <c r="N69" s="7" t="str">
        <f t="shared" si="41"/>
        <v/>
      </c>
      <c r="O69" s="7" t="str">
        <f t="shared" si="26"/>
        <v/>
      </c>
      <c r="P69" s="7" t="str">
        <f t="shared" si="27"/>
        <v/>
      </c>
      <c r="Q69" s="7" t="str">
        <f t="shared" si="28"/>
        <v/>
      </c>
      <c r="R69" s="7" t="str">
        <f t="shared" si="2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301,10,1|301,10,2|301,10,3|301,10,4;305,5,4|302,5,5|302,10,6|302,10,7|302,10,8;305,5,8|302,15,9|302,15,10|303,15,11|303,15,12;306,1,12</v>
      </c>
      <c r="N71" s="7"/>
      <c r="O71" s="7"/>
      <c r="P71" s="7"/>
      <c r="Q71" s="7"/>
      <c r="R71" s="15" t="str">
        <f>_xlfn.TEXTJOIN("|",TRUE,R40:R69)</f>
        <v>301,10,1|301,10,2|301,10,3|301,10,4;305,5,4|302,5,5|302,10,6|302,10,7|302,10,8;305,5,8|302,15,9|302,15,10|303,15,11|303,15,12;306,1,12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4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  <c r="AH78" s="7"/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1</v>
      </c>
      <c r="O79" s="4">
        <f t="shared" ref="O79:O82" si="42">W79*(1-(N79-1)/6)*1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98" si="43">SUM(P79:T79)+O79*0.2</f>
        <v>0.4</v>
      </c>
      <c r="V79" s="4">
        <v>1</v>
      </c>
      <c r="W79" s="7">
        <f t="shared" ref="W79:W99" si="44">C2</f>
        <v>2</v>
      </c>
      <c r="X79" s="4">
        <f t="shared" ref="X79:X108" si="45">(O79*W79)^V79</f>
        <v>4</v>
      </c>
      <c r="Y79" s="4">
        <f t="shared" ref="Y79:Y108" si="46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47">$R$77*U79*(AB79+AC79)</f>
        <v>350</v>
      </c>
      <c r="AE79" s="4">
        <f t="shared" ref="AE79:AE108" si="48">ROUND(AD79/AA79*V79,0)</f>
        <v>18</v>
      </c>
      <c r="AF79" s="4">
        <f>ROUND(AD79/AA79*V79*AG79,0)</f>
        <v>9</v>
      </c>
      <c r="AG79" s="4">
        <v>0.5</v>
      </c>
      <c r="AH79" s="7">
        <f t="shared" ref="AH79:AH108" si="49">AF79</f>
        <v>9</v>
      </c>
    </row>
    <row r="80" customFormat="1" spans="1:34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1</v>
      </c>
      <c r="O80" s="4">
        <f t="shared" si="42"/>
        <v>5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f t="shared" si="43"/>
        <v>1</v>
      </c>
      <c r="V80" s="4">
        <v>1</v>
      </c>
      <c r="W80" s="7">
        <f t="shared" si="44"/>
        <v>5</v>
      </c>
      <c r="X80" s="4">
        <f t="shared" si="45"/>
        <v>25</v>
      </c>
      <c r="Y80" s="4">
        <f t="shared" si="46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47"/>
        <v>875</v>
      </c>
      <c r="AE80" s="4">
        <f t="shared" si="48"/>
        <v>44</v>
      </c>
      <c r="AF80" s="4">
        <f>ROUND(AD80/AA80*V80*AG80,0)</f>
        <v>24</v>
      </c>
      <c r="AG80" s="4">
        <v>0.55</v>
      </c>
      <c r="AH80" s="7">
        <f t="shared" si="49"/>
        <v>24</v>
      </c>
    </row>
    <row r="81" customFormat="1" spans="1:34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2</v>
      </c>
      <c r="O81" s="4">
        <f t="shared" si="42"/>
        <v>6.66666666666667</v>
      </c>
      <c r="P81" s="7">
        <f t="shared" ref="P81:P84" si="50">W81/6*1</f>
        <v>1.33333333333333</v>
      </c>
      <c r="Q81" s="7">
        <v>0</v>
      </c>
      <c r="R81" s="7">
        <v>0</v>
      </c>
      <c r="S81" s="7">
        <v>0</v>
      </c>
      <c r="T81" s="7">
        <v>0</v>
      </c>
      <c r="U81" s="7">
        <f t="shared" si="43"/>
        <v>2.66666666666666</v>
      </c>
      <c r="V81" s="4">
        <v>1</v>
      </c>
      <c r="W81" s="7">
        <f t="shared" si="44"/>
        <v>8</v>
      </c>
      <c r="X81" s="4">
        <f t="shared" si="45"/>
        <v>53.3333333333334</v>
      </c>
      <c r="Y81" s="4">
        <f t="shared" si="46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47"/>
        <v>2333.33333333333</v>
      </c>
      <c r="AE81" s="4">
        <f t="shared" si="48"/>
        <v>117</v>
      </c>
      <c r="AF81" s="4">
        <f t="shared" ref="AF79:AF108" si="51">ROUND(AD81/AA81*V81*AG81,0)</f>
        <v>76</v>
      </c>
      <c r="AG81" s="4">
        <v>0.65</v>
      </c>
      <c r="AH81" s="7">
        <f t="shared" si="49"/>
        <v>76</v>
      </c>
    </row>
    <row r="82" customFormat="1" spans="1:34">
      <c r="A82" s="4">
        <v>4</v>
      </c>
      <c r="B82" s="7">
        <v>1</v>
      </c>
      <c r="C82" s="7"/>
      <c r="D82" s="7"/>
      <c r="E82" s="7"/>
      <c r="F82" s="7"/>
      <c r="G82" s="7"/>
      <c r="H82" s="4"/>
      <c r="I82" s="4"/>
      <c r="J82" s="7"/>
      <c r="K82" s="7"/>
      <c r="L82" s="7">
        <v>0</v>
      </c>
      <c r="M82" s="7">
        <v>0</v>
      </c>
      <c r="N82" s="7">
        <v>2</v>
      </c>
      <c r="O82" s="4">
        <f>W82*(1-(N82-1)/6)*(1+0.5)</f>
        <v>12.5</v>
      </c>
      <c r="P82" s="7">
        <f t="shared" si="50"/>
        <v>1.66666666666667</v>
      </c>
      <c r="Q82" s="7">
        <v>0</v>
      </c>
      <c r="R82" s="7">
        <v>0</v>
      </c>
      <c r="S82" s="7">
        <v>0</v>
      </c>
      <c r="T82" s="7">
        <v>0</v>
      </c>
      <c r="U82" s="7">
        <f t="shared" si="43"/>
        <v>4.16666666666667</v>
      </c>
      <c r="V82" s="4">
        <v>1</v>
      </c>
      <c r="W82" s="7">
        <f t="shared" si="44"/>
        <v>10</v>
      </c>
      <c r="X82" s="4">
        <f t="shared" si="45"/>
        <v>125</v>
      </c>
      <c r="Y82" s="4">
        <f t="shared" si="46"/>
        <v>0</v>
      </c>
      <c r="Z82" s="7">
        <v>1</v>
      </c>
      <c r="AA82" s="7">
        <v>40</v>
      </c>
      <c r="AB82" s="7">
        <v>25</v>
      </c>
      <c r="AC82" s="7">
        <v>10</v>
      </c>
      <c r="AD82" s="7">
        <f t="shared" si="47"/>
        <v>3645.83333333334</v>
      </c>
      <c r="AE82" s="4">
        <f t="shared" si="48"/>
        <v>91</v>
      </c>
      <c r="AF82" s="4">
        <f t="shared" si="51"/>
        <v>64</v>
      </c>
      <c r="AG82" s="4">
        <v>0.7</v>
      </c>
      <c r="AH82" s="7">
        <f t="shared" si="49"/>
        <v>64</v>
      </c>
    </row>
    <row r="83" customFormat="1" spans="1:34">
      <c r="A83" s="9">
        <v>5</v>
      </c>
      <c r="B83" s="10"/>
      <c r="C83" s="10"/>
      <c r="D83" s="10"/>
      <c r="E83" s="10"/>
      <c r="F83" s="10"/>
      <c r="G83" s="10"/>
      <c r="H83" s="4">
        <v>0.5</v>
      </c>
      <c r="I83" s="4"/>
      <c r="J83" s="7"/>
      <c r="K83" s="7"/>
      <c r="L83" s="7">
        <v>0</v>
      </c>
      <c r="M83" s="7">
        <v>0</v>
      </c>
      <c r="N83" s="7">
        <v>3</v>
      </c>
      <c r="O83" s="4">
        <f>W83*(1-(N83-1)/6)*(1+0.5)</f>
        <v>13</v>
      </c>
      <c r="P83" s="7">
        <f t="shared" si="50"/>
        <v>2.16666666666667</v>
      </c>
      <c r="Q83" s="7">
        <f>W83/6*1</f>
        <v>2.16666666666667</v>
      </c>
      <c r="R83" s="7">
        <v>0</v>
      </c>
      <c r="S83" s="7">
        <v>0</v>
      </c>
      <c r="T83" s="7">
        <v>0</v>
      </c>
      <c r="U83" s="7">
        <f t="shared" si="43"/>
        <v>6.93333333333334</v>
      </c>
      <c r="V83" s="4">
        <v>1</v>
      </c>
      <c r="W83" s="7">
        <f t="shared" si="44"/>
        <v>13</v>
      </c>
      <c r="X83" s="4">
        <f t="shared" si="45"/>
        <v>169</v>
      </c>
      <c r="Y83" s="4">
        <f t="shared" si="46"/>
        <v>0</v>
      </c>
      <c r="Z83" s="7">
        <v>1</v>
      </c>
      <c r="AA83" s="7">
        <v>20</v>
      </c>
      <c r="AB83" s="7">
        <v>25</v>
      </c>
      <c r="AC83" s="7">
        <v>10</v>
      </c>
      <c r="AD83" s="7">
        <f t="shared" si="47"/>
        <v>6066.66666666667</v>
      </c>
      <c r="AE83" s="4">
        <f t="shared" si="48"/>
        <v>303</v>
      </c>
      <c r="AF83" s="4">
        <f t="shared" si="51"/>
        <v>228</v>
      </c>
      <c r="AG83" s="4">
        <v>0.75</v>
      </c>
      <c r="AH83" s="7">
        <f t="shared" si="49"/>
        <v>228</v>
      </c>
    </row>
    <row r="84" customFormat="1" spans="1:34">
      <c r="A84" s="4">
        <v>6</v>
      </c>
      <c r="B84" s="7"/>
      <c r="C84" s="7">
        <v>1</v>
      </c>
      <c r="D84" s="7"/>
      <c r="E84" s="7"/>
      <c r="F84" s="7"/>
      <c r="G84" s="7"/>
      <c r="H84" s="4"/>
      <c r="I84" s="4"/>
      <c r="J84" s="7"/>
      <c r="K84" s="7"/>
      <c r="L84" s="7">
        <v>0</v>
      </c>
      <c r="M84" s="7">
        <v>0</v>
      </c>
      <c r="N84" s="7">
        <v>3</v>
      </c>
      <c r="O84" s="4">
        <f>W84*(1-(N84-1)/6)*(1+0.5)</f>
        <v>16</v>
      </c>
      <c r="P84" s="7">
        <f>W84/6*(1+0.5)</f>
        <v>4</v>
      </c>
      <c r="Q84" s="7">
        <f>W84/6*1</f>
        <v>2.66666666666667</v>
      </c>
      <c r="R84" s="7">
        <v>0</v>
      </c>
      <c r="S84" s="7">
        <v>0</v>
      </c>
      <c r="T84" s="7">
        <v>0</v>
      </c>
      <c r="U84" s="7">
        <f t="shared" si="43"/>
        <v>9.86666666666667</v>
      </c>
      <c r="V84" s="4">
        <v>1</v>
      </c>
      <c r="W84" s="7">
        <f t="shared" si="44"/>
        <v>16</v>
      </c>
      <c r="X84" s="4">
        <f t="shared" si="45"/>
        <v>256</v>
      </c>
      <c r="Y84" s="4">
        <f t="shared" si="46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47"/>
        <v>8633.33333333334</v>
      </c>
      <c r="AE84" s="4">
        <f t="shared" si="48"/>
        <v>432</v>
      </c>
      <c r="AF84" s="4">
        <f t="shared" si="51"/>
        <v>324</v>
      </c>
      <c r="AG84" s="4">
        <v>0.75</v>
      </c>
      <c r="AH84" s="7">
        <f t="shared" si="49"/>
        <v>324</v>
      </c>
    </row>
    <row r="85" customFormat="1" spans="1:34">
      <c r="A85" s="9">
        <v>7</v>
      </c>
      <c r="B85" s="10"/>
      <c r="C85" s="10"/>
      <c r="D85" s="10">
        <v>1</v>
      </c>
      <c r="E85" s="10"/>
      <c r="F85" s="10"/>
      <c r="G85" s="10"/>
      <c r="H85" s="4"/>
      <c r="I85" s="4">
        <v>0.5</v>
      </c>
      <c r="J85" s="7"/>
      <c r="K85" s="7"/>
      <c r="L85" s="7">
        <v>0</v>
      </c>
      <c r="M85" s="7">
        <v>0</v>
      </c>
      <c r="N85" s="7">
        <v>3</v>
      </c>
      <c r="O85" s="4">
        <f>W85*(1-(N85-1)/6)*(1+0.5)</f>
        <v>18</v>
      </c>
      <c r="P85" s="7">
        <f>W85/6*(1+0.5)</f>
        <v>4.5</v>
      </c>
      <c r="Q85" s="7">
        <f>W85/6*1</f>
        <v>3</v>
      </c>
      <c r="R85" s="7">
        <v>0</v>
      </c>
      <c r="S85" s="7">
        <v>0</v>
      </c>
      <c r="T85" s="7">
        <v>0</v>
      </c>
      <c r="U85" s="7">
        <f t="shared" si="43"/>
        <v>11.1</v>
      </c>
      <c r="V85" s="4">
        <v>1</v>
      </c>
      <c r="W85" s="7">
        <f t="shared" si="44"/>
        <v>18</v>
      </c>
      <c r="X85" s="4">
        <f t="shared" si="45"/>
        <v>324</v>
      </c>
      <c r="Y85" s="4">
        <f t="shared" si="46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47"/>
        <v>9712.5</v>
      </c>
      <c r="AE85" s="4">
        <f t="shared" si="48"/>
        <v>486</v>
      </c>
      <c r="AF85" s="4">
        <f t="shared" si="51"/>
        <v>389</v>
      </c>
      <c r="AG85" s="4">
        <v>0.8</v>
      </c>
      <c r="AH85" s="7">
        <f t="shared" si="49"/>
        <v>389</v>
      </c>
    </row>
    <row r="86" customFormat="1" spans="1:34">
      <c r="A86" s="4">
        <v>8</v>
      </c>
      <c r="B86" s="7">
        <v>1</v>
      </c>
      <c r="C86" s="7">
        <v>1</v>
      </c>
      <c r="D86" s="7"/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3</v>
      </c>
      <c r="O86" s="4">
        <f>W86*(1-(N86-1)/6)*(1+1)</f>
        <v>28</v>
      </c>
      <c r="P86" s="7">
        <f>W86/6*(1+1)</f>
        <v>7</v>
      </c>
      <c r="Q86" s="7">
        <f>W86/6*(1+1)</f>
        <v>7</v>
      </c>
      <c r="R86" s="7">
        <v>0</v>
      </c>
      <c r="S86" s="7">
        <v>0</v>
      </c>
      <c r="T86" s="7">
        <v>0</v>
      </c>
      <c r="U86" s="7">
        <f t="shared" si="43"/>
        <v>19.6</v>
      </c>
      <c r="V86" s="4">
        <v>1</v>
      </c>
      <c r="W86" s="7">
        <f t="shared" si="44"/>
        <v>21</v>
      </c>
      <c r="X86" s="4">
        <f t="shared" si="45"/>
        <v>588</v>
      </c>
      <c r="Y86" s="4">
        <f t="shared" si="46"/>
        <v>0</v>
      </c>
      <c r="Z86" s="7">
        <v>1</v>
      </c>
      <c r="AA86" s="7">
        <v>40</v>
      </c>
      <c r="AB86" s="7">
        <v>25</v>
      </c>
      <c r="AC86" s="7">
        <v>10</v>
      </c>
      <c r="AD86" s="7">
        <f t="shared" si="47"/>
        <v>17150</v>
      </c>
      <c r="AE86" s="4">
        <f t="shared" si="48"/>
        <v>429</v>
      </c>
      <c r="AF86" s="4">
        <f t="shared" si="51"/>
        <v>343</v>
      </c>
      <c r="AG86" s="4">
        <v>0.8</v>
      </c>
      <c r="AH86" s="7">
        <f t="shared" si="49"/>
        <v>343</v>
      </c>
    </row>
    <row r="87" customFormat="1" spans="1:34">
      <c r="A87" s="9">
        <v>9</v>
      </c>
      <c r="B87" s="10"/>
      <c r="C87" s="10"/>
      <c r="D87" s="10">
        <v>1</v>
      </c>
      <c r="E87" s="10"/>
      <c r="F87" s="10"/>
      <c r="G87" s="10"/>
      <c r="H87" s="4">
        <v>0.5</v>
      </c>
      <c r="I87" s="4">
        <v>0.5</v>
      </c>
      <c r="J87" s="7"/>
      <c r="K87" s="7"/>
      <c r="L87" s="7">
        <v>0</v>
      </c>
      <c r="M87" s="7">
        <v>0</v>
      </c>
      <c r="N87" s="7">
        <v>3</v>
      </c>
      <c r="O87" s="4">
        <f>W87*(1-(N87-1)/6)*(1+1)</f>
        <v>30.6666666666667</v>
      </c>
      <c r="P87" s="7">
        <f>W87/6*(1+1)</f>
        <v>7.66666666666667</v>
      </c>
      <c r="Q87" s="7">
        <f>W87/6*(1+1)*(1+1)</f>
        <v>15.3333333333333</v>
      </c>
      <c r="R87" s="7">
        <v>0</v>
      </c>
      <c r="S87" s="7">
        <v>0</v>
      </c>
      <c r="T87" s="7">
        <v>0</v>
      </c>
      <c r="U87" s="7">
        <f t="shared" si="43"/>
        <v>29.1333333333333</v>
      </c>
      <c r="V87" s="4">
        <v>1</v>
      </c>
      <c r="W87" s="7">
        <f t="shared" si="44"/>
        <v>23</v>
      </c>
      <c r="X87" s="4">
        <f t="shared" si="45"/>
        <v>705.333333333334</v>
      </c>
      <c r="Y87" s="4">
        <f t="shared" si="46"/>
        <v>0</v>
      </c>
      <c r="Z87" s="7">
        <v>1</v>
      </c>
      <c r="AA87" s="7">
        <v>30</v>
      </c>
      <c r="AB87" s="7">
        <v>25</v>
      </c>
      <c r="AC87" s="7">
        <v>10</v>
      </c>
      <c r="AD87" s="7">
        <f t="shared" si="47"/>
        <v>25491.6666666667</v>
      </c>
      <c r="AE87" s="4">
        <f t="shared" si="48"/>
        <v>850</v>
      </c>
      <c r="AF87" s="4">
        <f t="shared" si="51"/>
        <v>722</v>
      </c>
      <c r="AG87" s="4">
        <v>0.85</v>
      </c>
      <c r="AH87" s="7">
        <f t="shared" si="49"/>
        <v>722</v>
      </c>
    </row>
    <row r="88" customFormat="1" spans="1:34">
      <c r="A88" s="11">
        <v>10</v>
      </c>
      <c r="B88" s="12">
        <v>1</v>
      </c>
      <c r="C88" s="12">
        <v>1</v>
      </c>
      <c r="D88" s="12"/>
      <c r="E88" s="12"/>
      <c r="F88" s="12"/>
      <c r="G88" s="12"/>
      <c r="H88" s="4"/>
      <c r="I88" s="4"/>
      <c r="J88" s="7">
        <v>1</v>
      </c>
      <c r="K88" s="7"/>
      <c r="L88" s="7">
        <v>0</v>
      </c>
      <c r="M88" s="7">
        <v>0</v>
      </c>
      <c r="N88" s="7">
        <v>3</v>
      </c>
      <c r="O88" s="4">
        <f>W88*(1-(N88-1)/6)*(1+1)*(1+0.5)</f>
        <v>52</v>
      </c>
      <c r="P88" s="7">
        <f>W88/6*(1+1)*(1+0.5)</f>
        <v>13</v>
      </c>
      <c r="Q88" s="7">
        <f>W88/6*(1+1)*(1+1)</f>
        <v>17.3333333333333</v>
      </c>
      <c r="R88" s="7">
        <v>0</v>
      </c>
      <c r="S88" s="7">
        <v>0</v>
      </c>
      <c r="T88" s="7">
        <v>0</v>
      </c>
      <c r="U88" s="7">
        <f t="shared" si="43"/>
        <v>40.7333333333333</v>
      </c>
      <c r="V88" s="4">
        <v>1</v>
      </c>
      <c r="W88" s="7">
        <f t="shared" si="44"/>
        <v>26</v>
      </c>
      <c r="X88" s="4">
        <f t="shared" si="45"/>
        <v>1352</v>
      </c>
      <c r="Y88" s="4">
        <f t="shared" si="46"/>
        <v>0</v>
      </c>
      <c r="Z88" s="7">
        <v>1</v>
      </c>
      <c r="AA88" s="7">
        <v>30</v>
      </c>
      <c r="AB88" s="7">
        <v>25</v>
      </c>
      <c r="AC88" s="7">
        <v>10</v>
      </c>
      <c r="AD88" s="7">
        <f t="shared" si="47"/>
        <v>35641.6666666666</v>
      </c>
      <c r="AE88" s="4">
        <f t="shared" si="48"/>
        <v>1188</v>
      </c>
      <c r="AF88" s="4">
        <f t="shared" si="51"/>
        <v>1010</v>
      </c>
      <c r="AG88" s="4">
        <v>0.85</v>
      </c>
      <c r="AH88" s="7">
        <f t="shared" si="49"/>
        <v>1010</v>
      </c>
    </row>
    <row r="89" customFormat="1" spans="1:34">
      <c r="A89" s="9">
        <v>11</v>
      </c>
      <c r="B89" s="10"/>
      <c r="C89" s="10"/>
      <c r="D89" s="10">
        <v>1</v>
      </c>
      <c r="E89" s="10"/>
      <c r="F89" s="10"/>
      <c r="G89" s="10"/>
      <c r="H89" s="4">
        <v>0.5</v>
      </c>
      <c r="I89" s="4">
        <v>0.5</v>
      </c>
      <c r="J89" s="7"/>
      <c r="K89" s="7"/>
      <c r="L89" s="7">
        <v>0</v>
      </c>
      <c r="M89" s="7">
        <v>0</v>
      </c>
      <c r="N89" s="7">
        <v>3</v>
      </c>
      <c r="O89" s="4">
        <f>W89*(1-(N89-1)/6)*(1+1)*(1+0.5)</f>
        <v>56</v>
      </c>
      <c r="P89" s="7">
        <f>W89/6*(1+1)*(1+0.5)</f>
        <v>14</v>
      </c>
      <c r="Q89" s="7">
        <f>W89/6*(1+2)*(1+1)</f>
        <v>28</v>
      </c>
      <c r="R89" s="7">
        <v>0</v>
      </c>
      <c r="S89" s="7">
        <v>0</v>
      </c>
      <c r="T89" s="7">
        <v>0</v>
      </c>
      <c r="U89" s="7">
        <f t="shared" si="43"/>
        <v>53.2</v>
      </c>
      <c r="V89" s="4">
        <v>1</v>
      </c>
      <c r="W89" s="7">
        <f t="shared" si="44"/>
        <v>28</v>
      </c>
      <c r="X89" s="4">
        <f t="shared" si="45"/>
        <v>1568</v>
      </c>
      <c r="Y89" s="4">
        <f t="shared" si="46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47"/>
        <v>46550</v>
      </c>
      <c r="AE89" s="4">
        <f t="shared" si="48"/>
        <v>1552</v>
      </c>
      <c r="AF89" s="4">
        <f t="shared" si="51"/>
        <v>1319</v>
      </c>
      <c r="AG89" s="4">
        <v>0.85</v>
      </c>
      <c r="AH89" s="7">
        <f t="shared" si="49"/>
        <v>1319</v>
      </c>
    </row>
    <row r="90" customFormat="1" spans="1:34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>
        <v>1</v>
      </c>
      <c r="K90" s="7"/>
      <c r="L90" s="7">
        <v>0</v>
      </c>
      <c r="M90" s="7">
        <v>0</v>
      </c>
      <c r="N90" s="7">
        <v>3</v>
      </c>
      <c r="O90" s="4">
        <f>W90*(1-(N90-1)/6)*(1+1)*(1+1)</f>
        <v>80</v>
      </c>
      <c r="P90" s="7">
        <f>W90/6*(1+1)*(1+0.5)</f>
        <v>15</v>
      </c>
      <c r="Q90" s="7">
        <f>W90/6*(1+2)*(1+1)</f>
        <v>30</v>
      </c>
      <c r="R90" s="7">
        <v>0</v>
      </c>
      <c r="S90" s="7">
        <v>0</v>
      </c>
      <c r="T90" s="7">
        <v>0</v>
      </c>
      <c r="U90" s="7">
        <f t="shared" si="43"/>
        <v>61</v>
      </c>
      <c r="V90" s="4">
        <v>1</v>
      </c>
      <c r="W90" s="7">
        <f t="shared" si="44"/>
        <v>30</v>
      </c>
      <c r="X90" s="4">
        <f t="shared" si="45"/>
        <v>2400</v>
      </c>
      <c r="Y90" s="4">
        <f t="shared" si="46"/>
        <v>0</v>
      </c>
      <c r="Z90" s="7">
        <v>1</v>
      </c>
      <c r="AA90" s="7">
        <v>40</v>
      </c>
      <c r="AB90" s="7">
        <v>25</v>
      </c>
      <c r="AC90" s="7">
        <v>10</v>
      </c>
      <c r="AD90" s="7">
        <f t="shared" si="47"/>
        <v>53375</v>
      </c>
      <c r="AE90" s="4">
        <f t="shared" si="48"/>
        <v>1334</v>
      </c>
      <c r="AF90" s="4">
        <f t="shared" si="51"/>
        <v>1334</v>
      </c>
      <c r="AG90" s="4">
        <v>1</v>
      </c>
      <c r="AH90" s="7">
        <f t="shared" si="49"/>
        <v>1334</v>
      </c>
    </row>
    <row r="91" customFormat="1" spans="1:34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/>
      <c r="K91" s="7"/>
      <c r="L91" s="7">
        <v>0</v>
      </c>
      <c r="M91" s="7">
        <v>0</v>
      </c>
      <c r="N91" s="7">
        <v>3</v>
      </c>
      <c r="O91" s="4">
        <f>W91*(1-(N91-1)/6)*(1+$H$82+$H$90)*(1+$H$85)</f>
        <v>0</v>
      </c>
      <c r="P91" s="7">
        <f t="shared" ref="P89:P91" si="52">W91/6*(1+1.5)*(1+1)</f>
        <v>0</v>
      </c>
      <c r="Q91" s="7">
        <f t="shared" ref="Q91:Q94" si="53">W91/6*(1+1)*(1+0.5)</f>
        <v>0</v>
      </c>
      <c r="R91" s="7">
        <f>W91/6*(1+1)</f>
        <v>0</v>
      </c>
      <c r="S91" s="7">
        <v>0</v>
      </c>
      <c r="T91" s="7">
        <v>0</v>
      </c>
      <c r="U91" s="7">
        <f t="shared" si="43"/>
        <v>0</v>
      </c>
      <c r="V91" s="4">
        <v>1</v>
      </c>
      <c r="W91" s="7">
        <f t="shared" si="44"/>
        <v>0</v>
      </c>
      <c r="X91" s="4">
        <f t="shared" si="45"/>
        <v>0</v>
      </c>
      <c r="Y91" s="4">
        <f t="shared" si="46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47"/>
        <v>0</v>
      </c>
      <c r="AE91" s="4">
        <f t="shared" si="48"/>
        <v>0</v>
      </c>
      <c r="AF91" s="4">
        <f t="shared" si="51"/>
        <v>0</v>
      </c>
      <c r="AG91" s="4">
        <v>0.8</v>
      </c>
      <c r="AH91" s="7">
        <f t="shared" si="49"/>
        <v>0</v>
      </c>
    </row>
    <row r="92" customFormat="1" spans="1:34">
      <c r="A92" s="9">
        <v>14</v>
      </c>
      <c r="B92" s="10"/>
      <c r="C92" s="10"/>
      <c r="D92" s="10"/>
      <c r="E92" s="10"/>
      <c r="F92" s="10"/>
      <c r="G92" s="10"/>
      <c r="H92" s="4"/>
      <c r="I92" s="4"/>
      <c r="J92" s="7"/>
      <c r="K92" s="7"/>
      <c r="L92" s="7">
        <v>0</v>
      </c>
      <c r="M92" s="7">
        <v>0</v>
      </c>
      <c r="N92" s="7">
        <v>3</v>
      </c>
      <c r="O92" s="4">
        <f>W92*(1-(N92-1)/6)*(1+$H$82+$H$90)*(1+$H$85)</f>
        <v>0</v>
      </c>
      <c r="P92" s="7">
        <f>W92/6*(1+2)*(1+1)</f>
        <v>0</v>
      </c>
      <c r="Q92" s="7">
        <f t="shared" si="53"/>
        <v>0</v>
      </c>
      <c r="R92" s="7">
        <f t="shared" ref="R92:R95" si="54">W92/6*(1+1)*(1+0.5)</f>
        <v>0</v>
      </c>
      <c r="S92" s="7">
        <v>0</v>
      </c>
      <c r="T92" s="7">
        <v>0</v>
      </c>
      <c r="U92" s="7">
        <f t="shared" si="43"/>
        <v>0</v>
      </c>
      <c r="V92" s="4">
        <v>1</v>
      </c>
      <c r="W92" s="7">
        <f t="shared" si="44"/>
        <v>0</v>
      </c>
      <c r="X92" s="4">
        <f t="shared" si="45"/>
        <v>0</v>
      </c>
      <c r="Y92" s="4">
        <f t="shared" si="46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47"/>
        <v>0</v>
      </c>
      <c r="AE92" s="4">
        <f t="shared" si="48"/>
        <v>0</v>
      </c>
      <c r="AF92" s="4">
        <f t="shared" si="51"/>
        <v>0</v>
      </c>
      <c r="AG92" s="4">
        <v>0.8</v>
      </c>
      <c r="AH92" s="7">
        <f t="shared" si="49"/>
        <v>0</v>
      </c>
    </row>
    <row r="93" customFormat="1" spans="1:34">
      <c r="A93" s="9">
        <v>15</v>
      </c>
      <c r="B93" s="10"/>
      <c r="C93" s="10"/>
      <c r="D93" s="10"/>
      <c r="E93" s="10"/>
      <c r="F93" s="10"/>
      <c r="G93" s="10"/>
      <c r="H93" s="4"/>
      <c r="I93" s="4"/>
      <c r="J93" s="7"/>
      <c r="K93" s="7"/>
      <c r="L93" s="7">
        <v>0</v>
      </c>
      <c r="M93" s="7">
        <v>0</v>
      </c>
      <c r="N93" s="7">
        <v>3</v>
      </c>
      <c r="O93" s="4">
        <f t="shared" ref="O93:O100" si="55">W93*(1-(N93-1)/6)*(1+$H$82+$H$90)*(1+$H$85+$H$93)</f>
        <v>0</v>
      </c>
      <c r="P93" s="7">
        <f>W93/6*(1+2)*(1+1)</f>
        <v>0</v>
      </c>
      <c r="Q93" s="7">
        <f t="shared" si="53"/>
        <v>0</v>
      </c>
      <c r="R93" s="7">
        <f t="shared" si="54"/>
        <v>0</v>
      </c>
      <c r="S93" s="7">
        <v>0</v>
      </c>
      <c r="T93" s="7">
        <v>0</v>
      </c>
      <c r="U93" s="7">
        <f t="shared" si="43"/>
        <v>0</v>
      </c>
      <c r="V93" s="4">
        <v>1.1</v>
      </c>
      <c r="W93" s="7">
        <f t="shared" si="44"/>
        <v>0</v>
      </c>
      <c r="X93" s="4">
        <f t="shared" si="45"/>
        <v>0</v>
      </c>
      <c r="Y93" s="4">
        <f t="shared" si="46"/>
        <v>0</v>
      </c>
      <c r="Z93" s="7">
        <v>1</v>
      </c>
      <c r="AA93" s="7">
        <v>30</v>
      </c>
      <c r="AB93" s="7">
        <v>25</v>
      </c>
      <c r="AC93" s="7">
        <v>10</v>
      </c>
      <c r="AD93" s="7">
        <f t="shared" si="47"/>
        <v>0</v>
      </c>
      <c r="AE93" s="4">
        <f t="shared" si="48"/>
        <v>0</v>
      </c>
      <c r="AF93" s="4">
        <f t="shared" si="51"/>
        <v>0</v>
      </c>
      <c r="AG93" s="4">
        <v>0.6</v>
      </c>
      <c r="AH93" s="7">
        <f t="shared" si="49"/>
        <v>0</v>
      </c>
    </row>
    <row r="94" customFormat="1" spans="1:34">
      <c r="A94" s="9">
        <v>16</v>
      </c>
      <c r="B94" s="10"/>
      <c r="C94" s="10"/>
      <c r="D94" s="10"/>
      <c r="E94" s="10"/>
      <c r="F94" s="10"/>
      <c r="G94" s="10"/>
      <c r="H94" s="4"/>
      <c r="I94" s="4"/>
      <c r="J94" s="7"/>
      <c r="K94" s="7"/>
      <c r="L94" s="7">
        <v>0</v>
      </c>
      <c r="M94" s="7">
        <v>0</v>
      </c>
      <c r="N94" s="7">
        <v>3</v>
      </c>
      <c r="O94" s="4">
        <f t="shared" si="55"/>
        <v>0</v>
      </c>
      <c r="P94" s="7">
        <f t="shared" ref="P94:P98" si="56">W94/6*(1+2)*(1+2)</f>
        <v>0</v>
      </c>
      <c r="Q94" s="7">
        <f t="shared" si="53"/>
        <v>0</v>
      </c>
      <c r="R94" s="7">
        <f t="shared" si="54"/>
        <v>0</v>
      </c>
      <c r="S94" s="7">
        <v>0</v>
      </c>
      <c r="T94" s="7">
        <v>0</v>
      </c>
      <c r="U94" s="7">
        <f>SUM(P94:T94)+O94*0.6</f>
        <v>0</v>
      </c>
      <c r="V94" s="4">
        <v>1.1</v>
      </c>
      <c r="W94" s="7">
        <f t="shared" si="44"/>
        <v>0</v>
      </c>
      <c r="X94" s="4">
        <f t="shared" si="45"/>
        <v>0</v>
      </c>
      <c r="Y94" s="4">
        <f t="shared" si="46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47"/>
        <v>0</v>
      </c>
      <c r="AE94" s="4">
        <f t="shared" si="48"/>
        <v>0</v>
      </c>
      <c r="AF94" s="4">
        <f t="shared" si="51"/>
        <v>0</v>
      </c>
      <c r="AG94" s="4">
        <v>0.6</v>
      </c>
      <c r="AH94" s="7">
        <f t="shared" si="49"/>
        <v>0</v>
      </c>
    </row>
    <row r="95" customFormat="1" spans="1:34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/>
      <c r="K95" s="7"/>
      <c r="L95" s="7">
        <v>0</v>
      </c>
      <c r="M95" s="7">
        <v>0</v>
      </c>
      <c r="N95" s="7">
        <v>3</v>
      </c>
      <c r="O95" s="4">
        <f t="shared" si="55"/>
        <v>0</v>
      </c>
      <c r="P95" s="7">
        <f t="shared" si="56"/>
        <v>0</v>
      </c>
      <c r="Q95" s="7">
        <f t="shared" ref="Q95:Q99" si="57">W95/6*(1+1)*(1+1)</f>
        <v>0</v>
      </c>
      <c r="R95" s="7">
        <f t="shared" si="54"/>
        <v>0</v>
      </c>
      <c r="S95" s="7">
        <v>0</v>
      </c>
      <c r="T95" s="7">
        <v>0</v>
      </c>
      <c r="U95" s="7">
        <f>SUM(P95:T95)+O95*0.6</f>
        <v>0</v>
      </c>
      <c r="V95" s="4">
        <v>1.1</v>
      </c>
      <c r="W95" s="7">
        <f t="shared" si="44"/>
        <v>0</v>
      </c>
      <c r="X95" s="4">
        <f t="shared" si="45"/>
        <v>0</v>
      </c>
      <c r="Y95" s="4">
        <f t="shared" si="46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47"/>
        <v>0</v>
      </c>
      <c r="AE95" s="4">
        <f t="shared" si="48"/>
        <v>0</v>
      </c>
      <c r="AF95" s="4">
        <f t="shared" si="51"/>
        <v>0</v>
      </c>
      <c r="AG95" s="4">
        <v>0.75</v>
      </c>
      <c r="AH95" s="7">
        <f t="shared" si="49"/>
        <v>0</v>
      </c>
    </row>
    <row r="96" customFormat="1" spans="1:34">
      <c r="A96" s="9">
        <v>18</v>
      </c>
      <c r="B96" s="10"/>
      <c r="C96" s="10"/>
      <c r="D96" s="10"/>
      <c r="E96" s="10"/>
      <c r="F96" s="10"/>
      <c r="G96" s="10"/>
      <c r="H96" s="4"/>
      <c r="I96" s="4"/>
      <c r="J96" s="7"/>
      <c r="K96" s="7"/>
      <c r="L96" s="7">
        <v>0</v>
      </c>
      <c r="M96" s="7">
        <v>0</v>
      </c>
      <c r="N96" s="7">
        <v>3</v>
      </c>
      <c r="O96" s="4">
        <f t="shared" si="55"/>
        <v>0</v>
      </c>
      <c r="P96" s="7">
        <f t="shared" si="56"/>
        <v>0</v>
      </c>
      <c r="Q96" s="7">
        <f t="shared" si="57"/>
        <v>0</v>
      </c>
      <c r="R96" s="7">
        <f t="shared" ref="R96:R98" si="58">W96/6*(1+1)*(1+1)</f>
        <v>0</v>
      </c>
      <c r="S96" s="7">
        <v>0</v>
      </c>
      <c r="T96" s="7">
        <v>0</v>
      </c>
      <c r="U96" s="7">
        <f>SUM(P96:T96)+O96*0.6</f>
        <v>0</v>
      </c>
      <c r="V96" s="4">
        <v>1.1</v>
      </c>
      <c r="W96" s="7">
        <f t="shared" si="44"/>
        <v>0</v>
      </c>
      <c r="X96" s="4">
        <f t="shared" si="45"/>
        <v>0</v>
      </c>
      <c r="Y96" s="4">
        <f t="shared" si="46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47"/>
        <v>0</v>
      </c>
      <c r="AE96" s="4">
        <f t="shared" si="48"/>
        <v>0</v>
      </c>
      <c r="AF96" s="4">
        <f t="shared" si="51"/>
        <v>0</v>
      </c>
      <c r="AG96" s="4">
        <v>0.8</v>
      </c>
      <c r="AH96" s="7">
        <f t="shared" si="49"/>
        <v>0</v>
      </c>
    </row>
    <row r="97" customFormat="1" spans="1:34">
      <c r="A97" s="9">
        <v>19</v>
      </c>
      <c r="B97" s="10"/>
      <c r="C97" s="10"/>
      <c r="D97" s="10"/>
      <c r="E97" s="10"/>
      <c r="F97" s="10"/>
      <c r="G97" s="10"/>
      <c r="H97" s="4"/>
      <c r="I97" s="4"/>
      <c r="J97" s="7"/>
      <c r="K97" s="7"/>
      <c r="L97" s="7">
        <v>0</v>
      </c>
      <c r="M97" s="7">
        <v>0</v>
      </c>
      <c r="N97" s="7">
        <v>3</v>
      </c>
      <c r="O97" s="4">
        <f t="shared" si="55"/>
        <v>0</v>
      </c>
      <c r="P97" s="7">
        <f t="shared" si="56"/>
        <v>0</v>
      </c>
      <c r="Q97" s="7">
        <f t="shared" si="57"/>
        <v>0</v>
      </c>
      <c r="R97" s="7">
        <f t="shared" si="58"/>
        <v>0</v>
      </c>
      <c r="S97" s="7">
        <v>0</v>
      </c>
      <c r="T97" s="7">
        <v>0</v>
      </c>
      <c r="U97" s="7">
        <f>SUM(P97:T97)+O97*0.6</f>
        <v>0</v>
      </c>
      <c r="V97" s="4">
        <v>1.1</v>
      </c>
      <c r="W97" s="7">
        <f t="shared" si="44"/>
        <v>0</v>
      </c>
      <c r="X97" s="4">
        <f t="shared" si="45"/>
        <v>0</v>
      </c>
      <c r="Y97" s="4">
        <f t="shared" si="46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47"/>
        <v>0</v>
      </c>
      <c r="AE97" s="4">
        <f t="shared" si="48"/>
        <v>0</v>
      </c>
      <c r="AF97" s="4">
        <f t="shared" si="51"/>
        <v>0</v>
      </c>
      <c r="AG97" s="4">
        <v>0.9</v>
      </c>
      <c r="AH97" s="7">
        <f t="shared" si="49"/>
        <v>0</v>
      </c>
    </row>
    <row r="98" customFormat="1" spans="1:34">
      <c r="A98" s="9">
        <v>20</v>
      </c>
      <c r="B98" s="10"/>
      <c r="C98" s="10"/>
      <c r="D98" s="10"/>
      <c r="E98" s="10"/>
      <c r="F98" s="10"/>
      <c r="G98" s="10"/>
      <c r="H98" s="4"/>
      <c r="I98" s="4"/>
      <c r="J98" s="7"/>
      <c r="K98" s="7"/>
      <c r="L98" s="7">
        <v>0</v>
      </c>
      <c r="M98" s="7">
        <v>0</v>
      </c>
      <c r="N98" s="7">
        <v>3</v>
      </c>
      <c r="O98" s="4">
        <f t="shared" si="55"/>
        <v>0</v>
      </c>
      <c r="P98" s="7">
        <f t="shared" si="56"/>
        <v>0</v>
      </c>
      <c r="Q98" s="7">
        <f t="shared" si="57"/>
        <v>0</v>
      </c>
      <c r="R98" s="7">
        <f t="shared" si="58"/>
        <v>0</v>
      </c>
      <c r="S98" s="7">
        <v>0</v>
      </c>
      <c r="T98" s="7">
        <v>0</v>
      </c>
      <c r="U98" s="7">
        <f>SUM(P98:T98)+O98*0.6</f>
        <v>0</v>
      </c>
      <c r="V98" s="4">
        <v>1.1</v>
      </c>
      <c r="W98" s="7">
        <f t="shared" si="44"/>
        <v>0</v>
      </c>
      <c r="X98" s="4">
        <f t="shared" si="45"/>
        <v>0</v>
      </c>
      <c r="Y98" s="4">
        <f t="shared" si="46"/>
        <v>0</v>
      </c>
      <c r="Z98" s="7">
        <v>1</v>
      </c>
      <c r="AA98" s="7">
        <v>30</v>
      </c>
      <c r="AB98" s="7">
        <v>25</v>
      </c>
      <c r="AC98" s="7">
        <v>10</v>
      </c>
      <c r="AD98" s="7">
        <f t="shared" si="47"/>
        <v>0</v>
      </c>
      <c r="AE98" s="4">
        <f t="shared" si="48"/>
        <v>0</v>
      </c>
      <c r="AF98" s="4">
        <f t="shared" si="51"/>
        <v>0</v>
      </c>
      <c r="AG98" s="4">
        <v>0.85</v>
      </c>
      <c r="AH98" s="7">
        <f t="shared" si="49"/>
        <v>0</v>
      </c>
    </row>
    <row r="99" spans="1:34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3</v>
      </c>
      <c r="O99" s="4">
        <f t="shared" si="55"/>
        <v>0</v>
      </c>
      <c r="P99" s="7">
        <f t="shared" ref="P99:P102" si="59">W99/N99*(1+0.5)*(1+0.5)</f>
        <v>0</v>
      </c>
      <c r="Q99" s="7">
        <f t="shared" si="57"/>
        <v>0</v>
      </c>
      <c r="R99" s="7">
        <f t="shared" ref="R99:R104" si="60">W99/N99*(1+0.5)*(1+0.5)</f>
        <v>0</v>
      </c>
      <c r="S99" s="7">
        <f t="shared" ref="S99:S106" si="61">W99/N99*(1+0.5)*(1+0.5)</f>
        <v>0</v>
      </c>
      <c r="T99" s="7">
        <f t="shared" ref="T99:T108" si="62">W99/N99*(1+0.5)*(1+0.5)</f>
        <v>0</v>
      </c>
      <c r="U99" s="7">
        <f t="shared" ref="U99:U108" si="63">SUM(P99:T99)+O99*1</f>
        <v>0</v>
      </c>
      <c r="V99" s="4">
        <v>1.2</v>
      </c>
      <c r="W99" s="7">
        <f t="shared" si="44"/>
        <v>0</v>
      </c>
      <c r="X99" s="4">
        <f t="shared" si="45"/>
        <v>0</v>
      </c>
      <c r="Y99" s="4">
        <f t="shared" si="46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47"/>
        <v>0</v>
      </c>
      <c r="AE99" s="4">
        <f t="shared" si="48"/>
        <v>0</v>
      </c>
      <c r="AF99" s="4">
        <f t="shared" si="51"/>
        <v>0</v>
      </c>
      <c r="AG99" s="4">
        <v>1</v>
      </c>
      <c r="AH99" s="7">
        <f t="shared" si="49"/>
        <v>0</v>
      </c>
    </row>
    <row r="100" spans="1:34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3</v>
      </c>
      <c r="O100" s="4">
        <f t="shared" si="55"/>
        <v>0</v>
      </c>
      <c r="P100" s="7">
        <f t="shared" si="59"/>
        <v>0</v>
      </c>
      <c r="Q100" s="7">
        <f t="shared" ref="Q100:Q103" si="64">W100/N100*(1+0.5)*(1+0.5)</f>
        <v>0</v>
      </c>
      <c r="R100" s="7">
        <f t="shared" si="60"/>
        <v>0</v>
      </c>
      <c r="S100" s="7">
        <f t="shared" si="61"/>
        <v>0</v>
      </c>
      <c r="T100" s="7">
        <f t="shared" si="62"/>
        <v>0</v>
      </c>
      <c r="U100" s="7">
        <f t="shared" si="63"/>
        <v>0</v>
      </c>
      <c r="V100" s="4">
        <v>1.2</v>
      </c>
      <c r="W100" s="7">
        <f t="shared" ref="W99:W108" si="65">F23</f>
        <v>0</v>
      </c>
      <c r="X100" s="4">
        <f t="shared" si="45"/>
        <v>0</v>
      </c>
      <c r="Y100" s="4">
        <f t="shared" si="46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47"/>
        <v>0</v>
      </c>
      <c r="AE100" s="4">
        <f t="shared" si="48"/>
        <v>0</v>
      </c>
      <c r="AF100" s="4">
        <f t="shared" si="51"/>
        <v>0</v>
      </c>
      <c r="AG100" s="4">
        <v>1</v>
      </c>
      <c r="AH100" s="7">
        <f t="shared" si="49"/>
        <v>0</v>
      </c>
    </row>
    <row r="101" spans="1:34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3</v>
      </c>
      <c r="O101" s="4">
        <f t="shared" ref="O101:O108" si="66">W101/N101*(1+1)*(1+1.5)</f>
        <v>0</v>
      </c>
      <c r="P101" s="7">
        <f t="shared" si="59"/>
        <v>0</v>
      </c>
      <c r="Q101" s="7">
        <f t="shared" si="64"/>
        <v>0</v>
      </c>
      <c r="R101" s="7">
        <f t="shared" si="60"/>
        <v>0</v>
      </c>
      <c r="S101" s="7">
        <f t="shared" si="61"/>
        <v>0</v>
      </c>
      <c r="T101" s="7">
        <f t="shared" si="62"/>
        <v>0</v>
      </c>
      <c r="U101" s="7">
        <f t="shared" si="63"/>
        <v>0</v>
      </c>
      <c r="V101" s="4">
        <v>1.2</v>
      </c>
      <c r="W101" s="7">
        <f t="shared" si="65"/>
        <v>0</v>
      </c>
      <c r="X101" s="4">
        <f t="shared" si="45"/>
        <v>0</v>
      </c>
      <c r="Y101" s="4">
        <f t="shared" si="46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47"/>
        <v>0</v>
      </c>
      <c r="AE101" s="4">
        <f t="shared" si="48"/>
        <v>0</v>
      </c>
      <c r="AF101" s="4">
        <f t="shared" si="51"/>
        <v>0</v>
      </c>
      <c r="AG101" s="4">
        <v>1</v>
      </c>
      <c r="AH101" s="7">
        <f t="shared" si="49"/>
        <v>0</v>
      </c>
    </row>
    <row r="102" spans="1:34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3</v>
      </c>
      <c r="O102" s="4">
        <f t="shared" si="66"/>
        <v>0</v>
      </c>
      <c r="P102" s="7">
        <f t="shared" si="59"/>
        <v>0</v>
      </c>
      <c r="Q102" s="7">
        <f t="shared" si="64"/>
        <v>0</v>
      </c>
      <c r="R102" s="7">
        <f t="shared" si="60"/>
        <v>0</v>
      </c>
      <c r="S102" s="7">
        <f t="shared" si="61"/>
        <v>0</v>
      </c>
      <c r="T102" s="7">
        <f t="shared" si="62"/>
        <v>0</v>
      </c>
      <c r="U102" s="7">
        <f t="shared" si="63"/>
        <v>0</v>
      </c>
      <c r="V102" s="4">
        <v>1.2</v>
      </c>
      <c r="W102" s="7">
        <f t="shared" si="65"/>
        <v>0</v>
      </c>
      <c r="X102" s="4">
        <f t="shared" si="45"/>
        <v>0</v>
      </c>
      <c r="Y102" s="4">
        <f t="shared" si="46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47"/>
        <v>0</v>
      </c>
      <c r="AE102" s="4">
        <f t="shared" si="48"/>
        <v>0</v>
      </c>
      <c r="AF102" s="4">
        <f t="shared" si="51"/>
        <v>0</v>
      </c>
      <c r="AG102" s="4">
        <v>1</v>
      </c>
      <c r="AH102" s="7">
        <f t="shared" si="49"/>
        <v>0</v>
      </c>
    </row>
    <row r="103" spans="1:34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3</v>
      </c>
      <c r="O103" s="4">
        <f t="shared" si="66"/>
        <v>0</v>
      </c>
      <c r="P103" s="7">
        <f t="shared" ref="P103:P108" si="67">W103/N103*(1+1)*(1+0.5)</f>
        <v>0</v>
      </c>
      <c r="Q103" s="7">
        <f t="shared" si="64"/>
        <v>0</v>
      </c>
      <c r="R103" s="7">
        <f t="shared" si="60"/>
        <v>0</v>
      </c>
      <c r="S103" s="7">
        <f t="shared" si="61"/>
        <v>0</v>
      </c>
      <c r="T103" s="7">
        <f t="shared" si="62"/>
        <v>0</v>
      </c>
      <c r="U103" s="7">
        <f t="shared" si="63"/>
        <v>0</v>
      </c>
      <c r="V103" s="4">
        <v>1.3</v>
      </c>
      <c r="W103" s="7">
        <f t="shared" si="65"/>
        <v>0</v>
      </c>
      <c r="X103" s="4">
        <f t="shared" si="45"/>
        <v>0</v>
      </c>
      <c r="Y103" s="4">
        <f t="shared" si="46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47"/>
        <v>0</v>
      </c>
      <c r="AE103" s="4">
        <f t="shared" si="48"/>
        <v>0</v>
      </c>
      <c r="AF103" s="4">
        <f t="shared" si="51"/>
        <v>0</v>
      </c>
      <c r="AG103" s="4">
        <v>1</v>
      </c>
      <c r="AH103" s="7">
        <f t="shared" si="49"/>
        <v>0</v>
      </c>
    </row>
    <row r="104" spans="1:34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3</v>
      </c>
      <c r="O104" s="4">
        <f t="shared" si="66"/>
        <v>0</v>
      </c>
      <c r="P104" s="7">
        <f t="shared" si="67"/>
        <v>0</v>
      </c>
      <c r="Q104" s="7">
        <f t="shared" ref="Q104:Q108" si="68">W104/N104*(1+1)*(1+0.5)</f>
        <v>0</v>
      </c>
      <c r="R104" s="7">
        <f t="shared" si="60"/>
        <v>0</v>
      </c>
      <c r="S104" s="7">
        <f t="shared" si="61"/>
        <v>0</v>
      </c>
      <c r="T104" s="7">
        <f t="shared" si="62"/>
        <v>0</v>
      </c>
      <c r="U104" s="7">
        <f t="shared" si="63"/>
        <v>0</v>
      </c>
      <c r="V104" s="4">
        <v>1.3</v>
      </c>
      <c r="W104" s="7">
        <f t="shared" si="65"/>
        <v>0</v>
      </c>
      <c r="X104" s="4">
        <f t="shared" si="45"/>
        <v>0</v>
      </c>
      <c r="Y104" s="4">
        <f t="shared" si="46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47"/>
        <v>0</v>
      </c>
      <c r="AE104" s="4">
        <f t="shared" si="48"/>
        <v>0</v>
      </c>
      <c r="AF104" s="4">
        <f t="shared" si="51"/>
        <v>0</v>
      </c>
      <c r="AG104" s="4">
        <v>1</v>
      </c>
      <c r="AH104" s="7">
        <f t="shared" si="49"/>
        <v>0</v>
      </c>
    </row>
    <row r="105" spans="1:34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3</v>
      </c>
      <c r="O105" s="4">
        <f t="shared" si="66"/>
        <v>0</v>
      </c>
      <c r="P105" s="7">
        <f t="shared" si="67"/>
        <v>0</v>
      </c>
      <c r="Q105" s="7">
        <f t="shared" si="68"/>
        <v>0</v>
      </c>
      <c r="R105" s="7">
        <f t="shared" ref="R105:R108" si="69">W105/N105*(1+1)*(1+0.5)</f>
        <v>0</v>
      </c>
      <c r="S105" s="7">
        <f t="shared" si="61"/>
        <v>0</v>
      </c>
      <c r="T105" s="7">
        <f t="shared" si="62"/>
        <v>0</v>
      </c>
      <c r="U105" s="7">
        <f t="shared" si="63"/>
        <v>0</v>
      </c>
      <c r="V105" s="4">
        <v>1.3</v>
      </c>
      <c r="W105" s="7">
        <f t="shared" si="65"/>
        <v>0</v>
      </c>
      <c r="X105" s="4">
        <f t="shared" si="45"/>
        <v>0</v>
      </c>
      <c r="Y105" s="4">
        <f t="shared" si="46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47"/>
        <v>0</v>
      </c>
      <c r="AE105" s="4">
        <f t="shared" si="48"/>
        <v>0</v>
      </c>
      <c r="AF105" s="4">
        <f t="shared" si="51"/>
        <v>0</v>
      </c>
      <c r="AG105" s="4">
        <v>1</v>
      </c>
      <c r="AH105" s="7">
        <f t="shared" si="49"/>
        <v>0</v>
      </c>
    </row>
    <row r="106" spans="1:34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3</v>
      </c>
      <c r="O106" s="4">
        <f t="shared" si="66"/>
        <v>0</v>
      </c>
      <c r="P106" s="7">
        <f t="shared" si="67"/>
        <v>0</v>
      </c>
      <c r="Q106" s="7">
        <f t="shared" si="68"/>
        <v>0</v>
      </c>
      <c r="R106" s="7">
        <f t="shared" si="69"/>
        <v>0</v>
      </c>
      <c r="S106" s="7">
        <f t="shared" si="61"/>
        <v>0</v>
      </c>
      <c r="T106" s="7">
        <f t="shared" si="62"/>
        <v>0</v>
      </c>
      <c r="U106" s="7">
        <f t="shared" si="63"/>
        <v>0</v>
      </c>
      <c r="V106" s="4">
        <v>1.3</v>
      </c>
      <c r="W106" s="7">
        <f t="shared" si="65"/>
        <v>0</v>
      </c>
      <c r="X106" s="4">
        <f t="shared" si="45"/>
        <v>0</v>
      </c>
      <c r="Y106" s="4">
        <f t="shared" si="46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47"/>
        <v>0</v>
      </c>
      <c r="AE106" s="4">
        <f t="shared" si="48"/>
        <v>0</v>
      </c>
      <c r="AF106" s="4">
        <f t="shared" si="51"/>
        <v>0</v>
      </c>
      <c r="AG106" s="4">
        <v>1</v>
      </c>
      <c r="AH106" s="7">
        <f t="shared" si="49"/>
        <v>0</v>
      </c>
    </row>
    <row r="107" spans="1:34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3</v>
      </c>
      <c r="O107" s="4">
        <f t="shared" si="66"/>
        <v>0</v>
      </c>
      <c r="P107" s="7">
        <f t="shared" si="67"/>
        <v>0</v>
      </c>
      <c r="Q107" s="7">
        <f t="shared" si="68"/>
        <v>0</v>
      </c>
      <c r="R107" s="7">
        <f t="shared" si="69"/>
        <v>0</v>
      </c>
      <c r="S107" s="7">
        <f>W107/N107*(1+1)*(1+0.5)</f>
        <v>0</v>
      </c>
      <c r="T107" s="7">
        <f t="shared" si="62"/>
        <v>0</v>
      </c>
      <c r="U107" s="7">
        <f t="shared" si="63"/>
        <v>0</v>
      </c>
      <c r="V107" s="4">
        <v>1.3</v>
      </c>
      <c r="W107" s="7">
        <f t="shared" si="65"/>
        <v>0</v>
      </c>
      <c r="X107" s="4">
        <f t="shared" si="45"/>
        <v>0</v>
      </c>
      <c r="Y107" s="4">
        <f t="shared" si="46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47"/>
        <v>0</v>
      </c>
      <c r="AE107" s="4">
        <f t="shared" si="48"/>
        <v>0</v>
      </c>
      <c r="AF107" s="4">
        <f t="shared" si="51"/>
        <v>0</v>
      </c>
      <c r="AG107" s="4">
        <v>1</v>
      </c>
      <c r="AH107" s="7">
        <f t="shared" si="49"/>
        <v>0</v>
      </c>
    </row>
    <row r="108" spans="1:34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3</v>
      </c>
      <c r="O108" s="4">
        <f t="shared" si="66"/>
        <v>0</v>
      </c>
      <c r="P108" s="7">
        <f t="shared" si="67"/>
        <v>0</v>
      </c>
      <c r="Q108" s="7">
        <f t="shared" si="68"/>
        <v>0</v>
      </c>
      <c r="R108" s="7">
        <f t="shared" si="69"/>
        <v>0</v>
      </c>
      <c r="S108" s="7">
        <f>W108/N108*(1+1)*(1+0.5)</f>
        <v>0</v>
      </c>
      <c r="T108" s="7">
        <f t="shared" si="62"/>
        <v>0</v>
      </c>
      <c r="U108" s="7">
        <f t="shared" si="63"/>
        <v>0</v>
      </c>
      <c r="V108" s="4">
        <v>1.4</v>
      </c>
      <c r="W108" s="7">
        <f t="shared" si="65"/>
        <v>0</v>
      </c>
      <c r="X108" s="4">
        <f t="shared" si="45"/>
        <v>0</v>
      </c>
      <c r="Y108" s="4">
        <f t="shared" si="46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47"/>
        <v>0</v>
      </c>
      <c r="AE108" s="4">
        <f t="shared" si="48"/>
        <v>0</v>
      </c>
      <c r="AF108" s="4">
        <f t="shared" si="51"/>
        <v>0</v>
      </c>
      <c r="AG108" s="4">
        <v>1</v>
      </c>
      <c r="AH108" s="7">
        <f t="shared" si="49"/>
        <v>0</v>
      </c>
    </row>
    <row r="109" spans="15:16">
      <c r="O109" s="4"/>
      <c r="P109" s="4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09"/>
  <sheetViews>
    <sheetView workbookViewId="0">
      <selection activeCell="N26" sqref="N26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401</v>
      </c>
      <c r="Y1" s="7">
        <v>3</v>
      </c>
      <c r="Z1" s="4">
        <v>402</v>
      </c>
      <c r="AA1" s="7">
        <v>403</v>
      </c>
    </row>
    <row r="2" spans="1:27">
      <c r="A2" s="7">
        <v>1</v>
      </c>
      <c r="B2" s="7">
        <v>100</v>
      </c>
      <c r="C2" s="7">
        <f t="shared" ref="C2:C1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1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401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401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405</v>
      </c>
      <c r="Y2" s="4">
        <v>5</v>
      </c>
      <c r="AA2" s="7"/>
    </row>
    <row r="3" spans="1:27">
      <c r="A3" s="7">
        <v>2</v>
      </c>
      <c r="B3" s="7">
        <f>B2+AB2</f>
        <v>100</v>
      </c>
      <c r="C3" s="7">
        <f t="shared" si="0"/>
        <v>2</v>
      </c>
      <c r="D3" s="7">
        <v>0</v>
      </c>
      <c r="E3" s="7">
        <f t="shared" si="1"/>
        <v>1</v>
      </c>
      <c r="F3" s="7">
        <f t="shared" si="2"/>
        <v>2</v>
      </c>
      <c r="G3" s="7">
        <f t="shared" si="3"/>
        <v>1</v>
      </c>
      <c r="H3" s="7">
        <v>1</v>
      </c>
      <c r="I3" s="7">
        <f t="shared" ref="I3:I21" si="8">IF(A3&lt;5,$X$1,IF(A3&gt;10,$AA$1,$Z$1))</f>
        <v>401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21" si="9">IF(A3&lt;5,$X$1,IF(A3&gt;10,$AA$1,$Z$1))</f>
        <v>401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406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401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401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 t="shared" si="8"/>
        <v>401</v>
      </c>
      <c r="J5" s="7">
        <v>10</v>
      </c>
      <c r="K5" s="7">
        <f>IF(H5=1,"",INDEX($X$1:$X$3,MATCH(H5,$V$1:$V$3,0)))</f>
        <v>405</v>
      </c>
      <c r="L5" s="7">
        <f t="shared" si="4"/>
        <v>5</v>
      </c>
      <c r="M5" s="7"/>
      <c r="N5" s="7">
        <f t="shared" si="9"/>
        <v>401</v>
      </c>
      <c r="O5" s="7">
        <v>10</v>
      </c>
      <c r="P5" s="7">
        <f>IF(H5=1,"",INDEX($X$1:$X$3,MATCH(H5,$V$1:$V$3,0)))</f>
        <v>405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 t="shared" si="8"/>
        <v>402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 t="shared" si="9"/>
        <v>402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402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402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402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402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 t="shared" si="8"/>
        <v>402</v>
      </c>
      <c r="J9" s="7">
        <v>10</v>
      </c>
      <c r="K9" s="7">
        <f>IF(H9=1,"",INDEX($X$1:$X$3,MATCH(H9,$V$1:$V$3,0)))</f>
        <v>405</v>
      </c>
      <c r="L9" s="7">
        <f t="shared" si="4"/>
        <v>5</v>
      </c>
      <c r="M9" s="7"/>
      <c r="N9" s="7">
        <f t="shared" si="9"/>
        <v>402</v>
      </c>
      <c r="O9" s="7">
        <v>10</v>
      </c>
      <c r="P9" s="7">
        <f>IF(H9=1,"",INDEX($X$1:$X$3,MATCH(H9,$V$1:$V$3,0)))</f>
        <v>405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402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402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 t="shared" si="8"/>
        <v>402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 t="shared" si="9"/>
        <v>402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403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403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3</v>
      </c>
      <c r="I13" s="7">
        <f t="shared" si="8"/>
        <v>403</v>
      </c>
      <c r="J13" s="7">
        <v>15</v>
      </c>
      <c r="K13" s="7">
        <f>IF(H13=1,"",INDEX($X$1:$X$3,MATCH(H13,$V$1:$V$3,0)))</f>
        <v>406</v>
      </c>
      <c r="L13" s="7">
        <f t="shared" si="4"/>
        <v>1</v>
      </c>
      <c r="M13" s="7"/>
      <c r="N13" s="7">
        <f t="shared" si="9"/>
        <v>403</v>
      </c>
      <c r="O13" s="7">
        <v>15</v>
      </c>
      <c r="P13" s="7">
        <f>IF(H13=1,"",INDEX($X$1:$X$3,MATCH(H13,$V$1:$V$3,0)))</f>
        <v>406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>ROUNDDOWN(B32/$X$6,0)</f>
        <v>50</v>
      </c>
      <c r="D32" s="7"/>
      <c r="E32" s="7"/>
      <c r="F32" s="7">
        <f>ROUND(C32*$Y$6/100,0)</f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>ROUNDDOWN(B33/$X$6,0)</f>
        <v>74</v>
      </c>
      <c r="D33" s="7"/>
      <c r="E33" s="7"/>
      <c r="F33" s="7">
        <f>ROUND(C33*$Y$6/100,0)</f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3">IF(I2="","",_xlfn.TEXTJOIN(",",TRUE,I2:J2))</f>
        <v>401,10</v>
      </c>
      <c r="J40" s="7" t="str">
        <f t="shared" ref="J40:J69" si="14">IF(I40="","",_xlfn.TEXTJOIN(",",TRUE,I40,H40))</f>
        <v>401,10,1</v>
      </c>
      <c r="K40" s="7" t="str">
        <f t="shared" si="13"/>
        <v/>
      </c>
      <c r="L40" s="7" t="str">
        <f t="shared" ref="L40:L69" si="15">IF(K40="","",_xlfn.TEXTJOIN(",",TRUE,K40,H40))</f>
        <v/>
      </c>
      <c r="M40" s="7" t="str">
        <f t="shared" ref="M40:M69" si="16">_xlfn.TEXTJOIN(";",TRUE,J40,L40)</f>
        <v>401,10,1</v>
      </c>
      <c r="N40" s="7" t="str">
        <f t="shared" si="13"/>
        <v>401,10</v>
      </c>
      <c r="O40" s="7" t="str">
        <f t="shared" ref="O40:O69" si="17">IF(N40="","",N40&amp;","&amp;H40)</f>
        <v>401,10,1</v>
      </c>
      <c r="P40" s="7" t="str">
        <f t="shared" ref="P40:P69" si="18">IF(P2="","",P2&amp;","&amp;Q2)</f>
        <v/>
      </c>
      <c r="Q40" s="7" t="str">
        <f t="shared" ref="Q40:Q69" si="19">IF(P40="","",P40&amp;","&amp;H40)</f>
        <v/>
      </c>
      <c r="R40" s="7" t="str">
        <f t="shared" ref="R40:R69" si="20">_xlfn.TEXTJOIN(";",TRUE,O40,Q40)</f>
        <v>401,10,1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1">IF(I3="","",_xlfn.TEXTJOIN(",",TRUE,I3:J3))</f>
        <v>401,10</v>
      </c>
      <c r="J41" s="7" t="str">
        <f t="shared" si="14"/>
        <v>401,10,2</v>
      </c>
      <c r="K41" s="7" t="str">
        <f t="shared" si="21"/>
        <v/>
      </c>
      <c r="L41" s="7" t="str">
        <f t="shared" si="15"/>
        <v/>
      </c>
      <c r="M41" s="7" t="str">
        <f t="shared" si="16"/>
        <v>401,10,2</v>
      </c>
      <c r="N41" s="7" t="str">
        <f t="shared" si="21"/>
        <v>401,10</v>
      </c>
      <c r="O41" s="7" t="str">
        <f t="shared" si="17"/>
        <v>401,10,2</v>
      </c>
      <c r="P41" s="7" t="str">
        <f t="shared" si="18"/>
        <v/>
      </c>
      <c r="Q41" s="7" t="str">
        <f t="shared" si="19"/>
        <v/>
      </c>
      <c r="R41" s="7" t="str">
        <f t="shared" si="20"/>
        <v>401,10,2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2">IF(I4="","",_xlfn.TEXTJOIN(",",TRUE,I4:J4))</f>
        <v>401,10</v>
      </c>
      <c r="J42" s="7" t="str">
        <f t="shared" si="14"/>
        <v>401,10,3</v>
      </c>
      <c r="K42" s="7" t="str">
        <f t="shared" si="22"/>
        <v/>
      </c>
      <c r="L42" s="7" t="str">
        <f t="shared" si="15"/>
        <v/>
      </c>
      <c r="M42" s="7" t="str">
        <f t="shared" si="16"/>
        <v>401,10,3</v>
      </c>
      <c r="N42" s="7" t="str">
        <f t="shared" si="22"/>
        <v>401,10</v>
      </c>
      <c r="O42" s="7" t="str">
        <f t="shared" si="17"/>
        <v>401,10,3</v>
      </c>
      <c r="P42" s="7" t="str">
        <f t="shared" si="18"/>
        <v/>
      </c>
      <c r="Q42" s="7" t="str">
        <f t="shared" si="19"/>
        <v/>
      </c>
      <c r="R42" s="7" t="str">
        <f t="shared" si="20"/>
        <v>401,10,3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3">IF(I5="","",_xlfn.TEXTJOIN(",",TRUE,I5:J5))</f>
        <v>401,10</v>
      </c>
      <c r="J43" s="7" t="str">
        <f t="shared" si="14"/>
        <v>401,10,4</v>
      </c>
      <c r="K43" s="7" t="str">
        <f t="shared" si="23"/>
        <v>405,5</v>
      </c>
      <c r="L43" s="7" t="str">
        <f t="shared" si="15"/>
        <v>405,5,4</v>
      </c>
      <c r="M43" s="7" t="str">
        <f t="shared" si="16"/>
        <v>401,10,4;405,5,4</v>
      </c>
      <c r="N43" s="7" t="str">
        <f t="shared" si="23"/>
        <v>401,10</v>
      </c>
      <c r="O43" s="7" t="str">
        <f t="shared" si="17"/>
        <v>401,10,4</v>
      </c>
      <c r="P43" s="7" t="str">
        <f t="shared" si="18"/>
        <v>405,5</v>
      </c>
      <c r="Q43" s="7" t="str">
        <f t="shared" si="19"/>
        <v>405,5,4</v>
      </c>
      <c r="R43" s="7" t="str">
        <f t="shared" si="20"/>
        <v>401,10,4;405,5,4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4">IF(I6="","",_xlfn.TEXTJOIN(",",TRUE,I6:J6))</f>
        <v>402,10</v>
      </c>
      <c r="J44" s="7" t="str">
        <f t="shared" si="14"/>
        <v>402,10,5</v>
      </c>
      <c r="K44" s="7" t="str">
        <f t="shared" si="24"/>
        <v/>
      </c>
      <c r="L44" s="7" t="str">
        <f t="shared" si="15"/>
        <v/>
      </c>
      <c r="M44" s="7" t="str">
        <f t="shared" si="16"/>
        <v>402,10,5</v>
      </c>
      <c r="N44" s="7" t="str">
        <f t="shared" si="24"/>
        <v>402,10</v>
      </c>
      <c r="O44" s="7" t="str">
        <f t="shared" si="17"/>
        <v>402,10,5</v>
      </c>
      <c r="P44" s="7" t="str">
        <f t="shared" si="18"/>
        <v/>
      </c>
      <c r="Q44" s="7" t="str">
        <f t="shared" si="19"/>
        <v/>
      </c>
      <c r="R44" s="7" t="str">
        <f t="shared" si="20"/>
        <v>402,10,5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5">IF(I7="","",_xlfn.TEXTJOIN(",",TRUE,I7:J7))</f>
        <v>402,10</v>
      </c>
      <c r="J45" s="7" t="str">
        <f t="shared" si="14"/>
        <v>402,10,6</v>
      </c>
      <c r="K45" s="7" t="str">
        <f t="shared" si="25"/>
        <v/>
      </c>
      <c r="L45" s="7" t="str">
        <f t="shared" si="15"/>
        <v/>
      </c>
      <c r="M45" s="7" t="str">
        <f t="shared" si="16"/>
        <v>402,10,6</v>
      </c>
      <c r="N45" s="7" t="str">
        <f t="shared" si="25"/>
        <v>402,10</v>
      </c>
      <c r="O45" s="7" t="str">
        <f t="shared" si="17"/>
        <v>402,10,6</v>
      </c>
      <c r="P45" s="7" t="str">
        <f t="shared" si="18"/>
        <v/>
      </c>
      <c r="Q45" s="7" t="str">
        <f t="shared" si="19"/>
        <v/>
      </c>
      <c r="R45" s="7" t="str">
        <f t="shared" si="20"/>
        <v>402,10,6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6">IF(I8="","",_xlfn.TEXTJOIN(",",TRUE,I8:J8))</f>
        <v>402,10</v>
      </c>
      <c r="J46" s="7" t="str">
        <f t="shared" si="14"/>
        <v>402,10,7</v>
      </c>
      <c r="K46" s="7" t="str">
        <f t="shared" si="26"/>
        <v/>
      </c>
      <c r="L46" s="7" t="str">
        <f t="shared" si="15"/>
        <v/>
      </c>
      <c r="M46" s="7" t="str">
        <f t="shared" si="16"/>
        <v>402,10,7</v>
      </c>
      <c r="N46" s="7" t="str">
        <f t="shared" si="26"/>
        <v>402,10</v>
      </c>
      <c r="O46" s="7" t="str">
        <f t="shared" si="17"/>
        <v>402,10,7</v>
      </c>
      <c r="P46" s="7" t="str">
        <f t="shared" si="18"/>
        <v/>
      </c>
      <c r="Q46" s="7" t="str">
        <f t="shared" si="19"/>
        <v/>
      </c>
      <c r="R46" s="7" t="str">
        <f t="shared" si="20"/>
        <v>402,10,7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7">IF(I9="","",_xlfn.TEXTJOIN(",",TRUE,I9:J9))</f>
        <v>402,10</v>
      </c>
      <c r="J47" s="7" t="str">
        <f t="shared" si="14"/>
        <v>402,10,8</v>
      </c>
      <c r="K47" s="7" t="str">
        <f t="shared" si="27"/>
        <v>405,5</v>
      </c>
      <c r="L47" s="7" t="str">
        <f t="shared" si="15"/>
        <v>405,5,8</v>
      </c>
      <c r="M47" s="7" t="str">
        <f t="shared" si="16"/>
        <v>402,10,8;405,5,8</v>
      </c>
      <c r="N47" s="7" t="str">
        <f t="shared" si="27"/>
        <v>402,10</v>
      </c>
      <c r="O47" s="7" t="str">
        <f t="shared" si="17"/>
        <v>402,10,8</v>
      </c>
      <c r="P47" s="7" t="str">
        <f t="shared" si="18"/>
        <v>405,5</v>
      </c>
      <c r="Q47" s="7" t="str">
        <f t="shared" si="19"/>
        <v>405,5,8</v>
      </c>
      <c r="R47" s="7" t="str">
        <f t="shared" si="20"/>
        <v>402,10,8;405,5,8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8">IF(I10="","",_xlfn.TEXTJOIN(",",TRUE,I10:J10))</f>
        <v>402,15</v>
      </c>
      <c r="J48" s="7" t="str">
        <f t="shared" si="14"/>
        <v>402,15,9</v>
      </c>
      <c r="K48" s="7" t="str">
        <f t="shared" si="28"/>
        <v/>
      </c>
      <c r="L48" s="7" t="str">
        <f t="shared" si="15"/>
        <v/>
      </c>
      <c r="M48" s="7" t="str">
        <f t="shared" si="16"/>
        <v>402,15,9</v>
      </c>
      <c r="N48" s="7" t="str">
        <f t="shared" si="28"/>
        <v>402,15</v>
      </c>
      <c r="O48" s="7" t="str">
        <f t="shared" si="17"/>
        <v>402,15,9</v>
      </c>
      <c r="P48" s="7" t="str">
        <f t="shared" si="18"/>
        <v/>
      </c>
      <c r="Q48" s="7" t="str">
        <f t="shared" si="19"/>
        <v/>
      </c>
      <c r="R48" s="7" t="str">
        <f t="shared" si="20"/>
        <v>402,15,9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9">IF(I11="","",_xlfn.TEXTJOIN(",",TRUE,I11:J11))</f>
        <v>402,15</v>
      </c>
      <c r="J49" s="7" t="str">
        <f t="shared" si="14"/>
        <v>402,15,10</v>
      </c>
      <c r="K49" s="7" t="str">
        <f t="shared" si="29"/>
        <v/>
      </c>
      <c r="L49" s="7" t="str">
        <f t="shared" si="15"/>
        <v/>
      </c>
      <c r="M49" s="7" t="str">
        <f t="shared" si="16"/>
        <v>402,15,10</v>
      </c>
      <c r="N49" s="7" t="str">
        <f t="shared" si="29"/>
        <v>402,15</v>
      </c>
      <c r="O49" s="7" t="str">
        <f t="shared" si="17"/>
        <v>402,15,10</v>
      </c>
      <c r="P49" s="7" t="str">
        <f t="shared" si="18"/>
        <v/>
      </c>
      <c r="Q49" s="7" t="str">
        <f t="shared" si="19"/>
        <v/>
      </c>
      <c r="R49" s="7" t="str">
        <f t="shared" si="20"/>
        <v>402,15,10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0">IF(I12="","",_xlfn.TEXTJOIN(",",TRUE,I12:J12))</f>
        <v>403,15</v>
      </c>
      <c r="J50" s="7" t="str">
        <f t="shared" si="14"/>
        <v>403,15,11</v>
      </c>
      <c r="K50" s="7" t="str">
        <f t="shared" si="30"/>
        <v/>
      </c>
      <c r="L50" s="7" t="str">
        <f t="shared" si="15"/>
        <v/>
      </c>
      <c r="M50" s="7" t="str">
        <f t="shared" si="16"/>
        <v>403,15,11</v>
      </c>
      <c r="N50" s="7" t="str">
        <f t="shared" si="30"/>
        <v>403,15</v>
      </c>
      <c r="O50" s="7" t="str">
        <f t="shared" si="17"/>
        <v>403,15,11</v>
      </c>
      <c r="P50" s="7" t="str">
        <f t="shared" si="18"/>
        <v/>
      </c>
      <c r="Q50" s="7" t="str">
        <f t="shared" si="19"/>
        <v/>
      </c>
      <c r="R50" s="7" t="str">
        <f t="shared" si="20"/>
        <v>403,15,11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1">IF(I13="","",_xlfn.TEXTJOIN(",",TRUE,I13:J13))</f>
        <v>403,15</v>
      </c>
      <c r="J51" s="7" t="str">
        <f t="shared" si="14"/>
        <v>403,15,12</v>
      </c>
      <c r="K51" s="7" t="str">
        <f t="shared" si="31"/>
        <v>406,1</v>
      </c>
      <c r="L51" s="7" t="str">
        <f t="shared" si="15"/>
        <v>406,1,12</v>
      </c>
      <c r="M51" s="7" t="str">
        <f t="shared" si="16"/>
        <v>403,15,12;406,1,12</v>
      </c>
      <c r="N51" s="7" t="str">
        <f t="shared" si="31"/>
        <v>403,15</v>
      </c>
      <c r="O51" s="7" t="str">
        <f t="shared" si="17"/>
        <v>403,15,12</v>
      </c>
      <c r="P51" s="7" t="str">
        <f t="shared" si="18"/>
        <v>406,1</v>
      </c>
      <c r="Q51" s="7" t="str">
        <f t="shared" si="19"/>
        <v>406,1,12</v>
      </c>
      <c r="R51" s="7" t="str">
        <f t="shared" si="20"/>
        <v>403,15,12;406,1,12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2">IF(I14="","",_xlfn.TEXTJOIN(",",TRUE,I14:J14))</f>
        <v/>
      </c>
      <c r="J52" s="7" t="str">
        <f t="shared" si="14"/>
        <v/>
      </c>
      <c r="K52" s="7" t="str">
        <f t="shared" si="32"/>
        <v/>
      </c>
      <c r="L52" s="7" t="str">
        <f t="shared" si="15"/>
        <v/>
      </c>
      <c r="M52" s="7" t="str">
        <f t="shared" si="16"/>
        <v/>
      </c>
      <c r="N52" s="7" t="str">
        <f t="shared" si="32"/>
        <v/>
      </c>
      <c r="O52" s="7" t="str">
        <f t="shared" si="17"/>
        <v/>
      </c>
      <c r="P52" s="7" t="str">
        <f t="shared" si="18"/>
        <v/>
      </c>
      <c r="Q52" s="7" t="str">
        <f t="shared" si="19"/>
        <v/>
      </c>
      <c r="R52" s="7" t="str">
        <f t="shared" si="20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3">IF(I15="","",_xlfn.TEXTJOIN(",",TRUE,I15:J15))</f>
        <v/>
      </c>
      <c r="J53" s="7" t="str">
        <f t="shared" si="14"/>
        <v/>
      </c>
      <c r="K53" s="7" t="str">
        <f t="shared" si="33"/>
        <v/>
      </c>
      <c r="L53" s="7" t="str">
        <f t="shared" si="15"/>
        <v/>
      </c>
      <c r="M53" s="7" t="str">
        <f t="shared" si="16"/>
        <v/>
      </c>
      <c r="N53" s="7" t="str">
        <f t="shared" si="33"/>
        <v/>
      </c>
      <c r="O53" s="7" t="str">
        <f t="shared" si="17"/>
        <v/>
      </c>
      <c r="P53" s="7" t="str">
        <f t="shared" si="18"/>
        <v/>
      </c>
      <c r="Q53" s="7" t="str">
        <f t="shared" si="19"/>
        <v/>
      </c>
      <c r="R53" s="7" t="str">
        <f t="shared" si="20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4">IF(I16="","",_xlfn.TEXTJOIN(",",TRUE,I16:J16))</f>
        <v/>
      </c>
      <c r="J54" s="7" t="str">
        <f t="shared" si="14"/>
        <v/>
      </c>
      <c r="K54" s="7" t="str">
        <f t="shared" si="34"/>
        <v/>
      </c>
      <c r="L54" s="7" t="str">
        <f t="shared" si="15"/>
        <v/>
      </c>
      <c r="M54" s="7" t="str">
        <f t="shared" si="16"/>
        <v/>
      </c>
      <c r="N54" s="7" t="str">
        <f t="shared" si="34"/>
        <v/>
      </c>
      <c r="O54" s="7" t="str">
        <f t="shared" si="17"/>
        <v/>
      </c>
      <c r="P54" s="7" t="str">
        <f t="shared" si="18"/>
        <v/>
      </c>
      <c r="Q54" s="7" t="str">
        <f t="shared" si="19"/>
        <v/>
      </c>
      <c r="R54" s="7" t="str">
        <f t="shared" si="20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5">IF(I17="","",_xlfn.TEXTJOIN(",",TRUE,I17:J17))</f>
        <v/>
      </c>
      <c r="J55" s="7" t="str">
        <f t="shared" si="14"/>
        <v/>
      </c>
      <c r="K55" s="7" t="str">
        <f t="shared" si="35"/>
        <v/>
      </c>
      <c r="L55" s="7" t="str">
        <f t="shared" si="15"/>
        <v/>
      </c>
      <c r="M55" s="7" t="str">
        <f t="shared" si="16"/>
        <v/>
      </c>
      <c r="N55" s="7" t="str">
        <f t="shared" si="35"/>
        <v/>
      </c>
      <c r="O55" s="7" t="str">
        <f t="shared" si="17"/>
        <v/>
      </c>
      <c r="P55" s="7" t="str">
        <f t="shared" si="18"/>
        <v/>
      </c>
      <c r="Q55" s="7" t="str">
        <f t="shared" si="19"/>
        <v/>
      </c>
      <c r="R55" s="7" t="str">
        <f t="shared" si="20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6">IF(I18="","",_xlfn.TEXTJOIN(",",TRUE,I18:J18))</f>
        <v/>
      </c>
      <c r="J56" s="7" t="str">
        <f t="shared" si="14"/>
        <v/>
      </c>
      <c r="K56" s="7" t="str">
        <f t="shared" si="36"/>
        <v/>
      </c>
      <c r="L56" s="7" t="str">
        <f t="shared" si="15"/>
        <v/>
      </c>
      <c r="M56" s="7" t="str">
        <f t="shared" si="16"/>
        <v/>
      </c>
      <c r="N56" s="7" t="str">
        <f t="shared" si="36"/>
        <v/>
      </c>
      <c r="O56" s="7" t="str">
        <f t="shared" si="17"/>
        <v/>
      </c>
      <c r="P56" s="7" t="str">
        <f t="shared" si="18"/>
        <v/>
      </c>
      <c r="Q56" s="7" t="str">
        <f t="shared" si="19"/>
        <v/>
      </c>
      <c r="R56" s="7" t="str">
        <f t="shared" si="20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7">IF(I19="","",_xlfn.TEXTJOIN(",",TRUE,I19:J19))</f>
        <v/>
      </c>
      <c r="J57" s="7" t="str">
        <f t="shared" si="14"/>
        <v/>
      </c>
      <c r="K57" s="7" t="str">
        <f t="shared" si="37"/>
        <v/>
      </c>
      <c r="L57" s="7" t="str">
        <f t="shared" si="15"/>
        <v/>
      </c>
      <c r="M57" s="7" t="str">
        <f t="shared" si="16"/>
        <v/>
      </c>
      <c r="N57" s="7" t="str">
        <f t="shared" si="37"/>
        <v/>
      </c>
      <c r="O57" s="7" t="str">
        <f t="shared" si="17"/>
        <v/>
      </c>
      <c r="P57" s="7" t="str">
        <f t="shared" si="18"/>
        <v/>
      </c>
      <c r="Q57" s="7" t="str">
        <f t="shared" si="19"/>
        <v/>
      </c>
      <c r="R57" s="7" t="str">
        <f t="shared" si="20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8">IF(I20="","",_xlfn.TEXTJOIN(",",TRUE,I20:J20))</f>
        <v/>
      </c>
      <c r="J58" s="7" t="str">
        <f t="shared" si="14"/>
        <v/>
      </c>
      <c r="K58" s="7" t="str">
        <f t="shared" si="38"/>
        <v/>
      </c>
      <c r="L58" s="7" t="str">
        <f t="shared" si="15"/>
        <v/>
      </c>
      <c r="M58" s="7" t="str">
        <f t="shared" si="16"/>
        <v/>
      </c>
      <c r="N58" s="7" t="str">
        <f t="shared" si="38"/>
        <v/>
      </c>
      <c r="O58" s="7" t="str">
        <f t="shared" si="17"/>
        <v/>
      </c>
      <c r="P58" s="7" t="str">
        <f t="shared" si="18"/>
        <v/>
      </c>
      <c r="Q58" s="7" t="str">
        <f t="shared" si="19"/>
        <v/>
      </c>
      <c r="R58" s="7" t="str">
        <f t="shared" si="20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9">IF(I21="","",_xlfn.TEXTJOIN(",",TRUE,I21:J21))</f>
        <v/>
      </c>
      <c r="J59" s="7" t="str">
        <f t="shared" si="14"/>
        <v/>
      </c>
      <c r="K59" s="7" t="str">
        <f t="shared" si="39"/>
        <v/>
      </c>
      <c r="L59" s="7" t="str">
        <f t="shared" si="15"/>
        <v/>
      </c>
      <c r="M59" s="7" t="str">
        <f t="shared" si="16"/>
        <v/>
      </c>
      <c r="N59" s="7" t="str">
        <f t="shared" si="39"/>
        <v/>
      </c>
      <c r="O59" s="7" t="str">
        <f t="shared" si="17"/>
        <v/>
      </c>
      <c r="P59" s="7" t="str">
        <f t="shared" si="18"/>
        <v/>
      </c>
      <c r="Q59" s="7" t="str">
        <f t="shared" si="19"/>
        <v/>
      </c>
      <c r="R59" s="7" t="str">
        <f t="shared" si="20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0">IF(I22="","",_xlfn.TEXTJOIN(",",TRUE,I22:J22))</f>
        <v/>
      </c>
      <c r="J60" s="7" t="str">
        <f t="shared" si="14"/>
        <v/>
      </c>
      <c r="K60" s="7" t="str">
        <f t="shared" si="40"/>
        <v/>
      </c>
      <c r="L60" s="7" t="str">
        <f t="shared" si="15"/>
        <v/>
      </c>
      <c r="M60" s="7" t="str">
        <f t="shared" si="16"/>
        <v/>
      </c>
      <c r="N60" s="7" t="str">
        <f t="shared" si="40"/>
        <v/>
      </c>
      <c r="O60" s="7" t="str">
        <f t="shared" si="17"/>
        <v/>
      </c>
      <c r="P60" s="7" t="str">
        <f t="shared" si="18"/>
        <v/>
      </c>
      <c r="Q60" s="7" t="str">
        <f t="shared" si="19"/>
        <v/>
      </c>
      <c r="R60" s="7" t="str">
        <f t="shared" si="20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1">IF(I23="","",_xlfn.TEXTJOIN(",",TRUE,I23:J23))</f>
        <v/>
      </c>
      <c r="J61" s="7" t="str">
        <f t="shared" si="14"/>
        <v/>
      </c>
      <c r="K61" s="7" t="str">
        <f t="shared" si="41"/>
        <v/>
      </c>
      <c r="L61" s="7" t="str">
        <f t="shared" si="15"/>
        <v/>
      </c>
      <c r="M61" s="7" t="str">
        <f t="shared" si="16"/>
        <v/>
      </c>
      <c r="N61" s="7" t="str">
        <f t="shared" si="41"/>
        <v/>
      </c>
      <c r="O61" s="7" t="str">
        <f t="shared" si="17"/>
        <v/>
      </c>
      <c r="P61" s="7" t="str">
        <f t="shared" si="18"/>
        <v/>
      </c>
      <c r="Q61" s="7" t="str">
        <f t="shared" si="19"/>
        <v/>
      </c>
      <c r="R61" s="7" t="str">
        <f t="shared" si="20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2">IF(I24="","",_xlfn.TEXTJOIN(",",TRUE,I24:J24))</f>
        <v/>
      </c>
      <c r="J62" s="7" t="str">
        <f t="shared" si="14"/>
        <v/>
      </c>
      <c r="K62" s="7" t="str">
        <f t="shared" si="42"/>
        <v/>
      </c>
      <c r="L62" s="7" t="str">
        <f t="shared" si="15"/>
        <v/>
      </c>
      <c r="M62" s="7" t="str">
        <f t="shared" si="16"/>
        <v/>
      </c>
      <c r="N62" s="7" t="str">
        <f t="shared" si="42"/>
        <v/>
      </c>
      <c r="O62" s="7" t="str">
        <f t="shared" si="17"/>
        <v/>
      </c>
      <c r="P62" s="7" t="str">
        <f t="shared" si="18"/>
        <v/>
      </c>
      <c r="Q62" s="7" t="str">
        <f t="shared" si="19"/>
        <v/>
      </c>
      <c r="R62" s="7" t="str">
        <f t="shared" si="20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3">IF(I25="","",_xlfn.TEXTJOIN(",",TRUE,I25:J25))</f>
        <v/>
      </c>
      <c r="J63" s="7" t="str">
        <f t="shared" si="14"/>
        <v/>
      </c>
      <c r="K63" s="7" t="str">
        <f t="shared" si="43"/>
        <v/>
      </c>
      <c r="L63" s="7" t="str">
        <f t="shared" si="15"/>
        <v/>
      </c>
      <c r="M63" s="7" t="str">
        <f t="shared" si="16"/>
        <v/>
      </c>
      <c r="N63" s="7" t="str">
        <f t="shared" si="43"/>
        <v/>
      </c>
      <c r="O63" s="7" t="str">
        <f t="shared" si="17"/>
        <v/>
      </c>
      <c r="P63" s="7" t="str">
        <f t="shared" si="18"/>
        <v/>
      </c>
      <c r="Q63" s="7" t="str">
        <f t="shared" si="19"/>
        <v/>
      </c>
      <c r="R63" s="7" t="str">
        <f t="shared" si="20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4">IF(I26="","",_xlfn.TEXTJOIN(",",TRUE,I26:J26))</f>
        <v/>
      </c>
      <c r="J64" s="7" t="str">
        <f t="shared" si="14"/>
        <v/>
      </c>
      <c r="K64" s="7" t="str">
        <f t="shared" si="44"/>
        <v/>
      </c>
      <c r="L64" s="7" t="str">
        <f t="shared" si="15"/>
        <v/>
      </c>
      <c r="M64" s="7" t="str">
        <f t="shared" si="16"/>
        <v/>
      </c>
      <c r="N64" s="7" t="str">
        <f t="shared" si="44"/>
        <v/>
      </c>
      <c r="O64" s="7" t="str">
        <f t="shared" si="17"/>
        <v/>
      </c>
      <c r="P64" s="7" t="str">
        <f t="shared" si="18"/>
        <v/>
      </c>
      <c r="Q64" s="7" t="str">
        <f t="shared" si="19"/>
        <v/>
      </c>
      <c r="R64" s="7" t="str">
        <f t="shared" si="20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5">IF(I27="","",_xlfn.TEXTJOIN(",",TRUE,I27:J27))</f>
        <v/>
      </c>
      <c r="J65" s="7" t="str">
        <f t="shared" si="14"/>
        <v/>
      </c>
      <c r="K65" s="7" t="str">
        <f t="shared" si="45"/>
        <v/>
      </c>
      <c r="L65" s="7" t="str">
        <f t="shared" si="15"/>
        <v/>
      </c>
      <c r="M65" s="7" t="str">
        <f t="shared" si="16"/>
        <v/>
      </c>
      <c r="N65" s="7" t="str">
        <f t="shared" si="45"/>
        <v/>
      </c>
      <c r="O65" s="7" t="str">
        <f t="shared" si="17"/>
        <v/>
      </c>
      <c r="P65" s="7" t="str">
        <f t="shared" si="18"/>
        <v/>
      </c>
      <c r="Q65" s="7" t="str">
        <f t="shared" si="19"/>
        <v/>
      </c>
      <c r="R65" s="7" t="str">
        <f t="shared" si="20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6">IF(I28="","",_xlfn.TEXTJOIN(",",TRUE,I28:J28))</f>
        <v/>
      </c>
      <c r="J66" s="7" t="str">
        <f t="shared" si="14"/>
        <v/>
      </c>
      <c r="K66" s="7" t="str">
        <f t="shared" si="46"/>
        <v/>
      </c>
      <c r="L66" s="7" t="str">
        <f t="shared" si="15"/>
        <v/>
      </c>
      <c r="M66" s="7" t="str">
        <f t="shared" si="16"/>
        <v/>
      </c>
      <c r="N66" s="7" t="str">
        <f t="shared" si="46"/>
        <v/>
      </c>
      <c r="O66" s="7" t="str">
        <f t="shared" si="17"/>
        <v/>
      </c>
      <c r="P66" s="7" t="str">
        <f t="shared" si="18"/>
        <v/>
      </c>
      <c r="Q66" s="7" t="str">
        <f t="shared" si="19"/>
        <v/>
      </c>
      <c r="R66" s="7" t="str">
        <f t="shared" si="20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7">IF(I29="","",_xlfn.TEXTJOIN(",",TRUE,I29:J29))</f>
        <v/>
      </c>
      <c r="J67" s="7" t="str">
        <f t="shared" si="14"/>
        <v/>
      </c>
      <c r="K67" s="7" t="str">
        <f t="shared" si="47"/>
        <v/>
      </c>
      <c r="L67" s="7" t="str">
        <f t="shared" si="15"/>
        <v/>
      </c>
      <c r="M67" s="7" t="str">
        <f t="shared" si="16"/>
        <v/>
      </c>
      <c r="N67" s="7" t="str">
        <f t="shared" si="47"/>
        <v/>
      </c>
      <c r="O67" s="7" t="str">
        <f t="shared" si="17"/>
        <v/>
      </c>
      <c r="P67" s="7" t="str">
        <f t="shared" si="18"/>
        <v/>
      </c>
      <c r="Q67" s="7" t="str">
        <f t="shared" si="19"/>
        <v/>
      </c>
      <c r="R67" s="7" t="str">
        <f t="shared" si="20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8">IF(I30="","",_xlfn.TEXTJOIN(",",TRUE,I30:J30))</f>
        <v/>
      </c>
      <c r="J68" s="7" t="str">
        <f t="shared" si="14"/>
        <v/>
      </c>
      <c r="K68" s="7" t="str">
        <f t="shared" si="48"/>
        <v/>
      </c>
      <c r="L68" s="7" t="str">
        <f t="shared" si="15"/>
        <v/>
      </c>
      <c r="M68" s="7" t="str">
        <f t="shared" si="16"/>
        <v/>
      </c>
      <c r="N68" s="7" t="str">
        <f t="shared" si="48"/>
        <v/>
      </c>
      <c r="O68" s="7" t="str">
        <f t="shared" si="17"/>
        <v/>
      </c>
      <c r="P68" s="7" t="str">
        <f t="shared" si="18"/>
        <v/>
      </c>
      <c r="Q68" s="7" t="str">
        <f t="shared" si="19"/>
        <v/>
      </c>
      <c r="R68" s="7" t="str">
        <f t="shared" si="20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9">IF(I31="","",_xlfn.TEXTJOIN(",",TRUE,I31:J31))</f>
        <v/>
      </c>
      <c r="J69" s="7" t="str">
        <f t="shared" si="14"/>
        <v/>
      </c>
      <c r="K69" s="7" t="str">
        <f t="shared" si="49"/>
        <v/>
      </c>
      <c r="L69" s="7" t="str">
        <f t="shared" si="15"/>
        <v/>
      </c>
      <c r="M69" s="7" t="str">
        <f t="shared" si="16"/>
        <v/>
      </c>
      <c r="N69" s="7" t="str">
        <f t="shared" si="49"/>
        <v/>
      </c>
      <c r="O69" s="7" t="str">
        <f t="shared" si="17"/>
        <v/>
      </c>
      <c r="P69" s="7" t="str">
        <f t="shared" si="18"/>
        <v/>
      </c>
      <c r="Q69" s="7" t="str">
        <f t="shared" si="19"/>
        <v/>
      </c>
      <c r="R69" s="7" t="str">
        <f t="shared" si="20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401,10,1|401,10,2|401,10,3|401,10,4;405,5,4|402,10,5|402,10,6|402,10,7|402,10,8;405,5,8|402,15,9|402,15,10|403,15,11|403,15,12;406,1,12</v>
      </c>
      <c r="N71" s="7"/>
      <c r="O71" s="7"/>
      <c r="P71" s="7"/>
      <c r="Q71" s="7"/>
      <c r="R71" s="15" t="str">
        <f>_xlfn.TEXTJOIN("|",TRUE,R40:R69)</f>
        <v>401,10,1|401,10,2|401,10,3|401,10,4;405,5,4|402,10,5|402,10,6|402,10,7|402,10,8;405,5,8|402,15,9|402,15,10|403,15,11|403,15,12;406,1,12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98" si="50">SUM(P79:T79)+O79*0.6</f>
        <v>1.2</v>
      </c>
      <c r="V79" s="4">
        <v>0.5</v>
      </c>
      <c r="W79" s="7">
        <f t="shared" ref="W79:W108" si="51">F2</f>
        <v>2</v>
      </c>
      <c r="X79" s="4">
        <f t="shared" ref="X79:X108" si="52">(O79*W79)^V79</f>
        <v>2</v>
      </c>
      <c r="Y79" s="4">
        <f t="shared" ref="Y79:Y108" si="53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4">$R$77*U79*(AB79+AC79)</f>
        <v>1050</v>
      </c>
      <c r="AE79" s="4">
        <f t="shared" ref="AE79:AE108" si="55">ROUND(AD79/AA79*V79,0)</f>
        <v>26</v>
      </c>
      <c r="AF79" s="4">
        <f t="shared" ref="AF79:AF108" si="56">ROUND(AD79/AA79*V79*AG79,0)</f>
        <v>17</v>
      </c>
      <c r="AG79" s="4">
        <v>0.64</v>
      </c>
      <c r="AH79" s="4"/>
    </row>
    <row r="80" customFormat="1" spans="1:35">
      <c r="A80" s="4">
        <v>2</v>
      </c>
      <c r="B80" s="7"/>
      <c r="C80" s="7"/>
      <c r="D80" s="7"/>
      <c r="E80" s="7"/>
      <c r="F80" s="7"/>
      <c r="G80" s="7"/>
      <c r="H80" s="4"/>
      <c r="I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</v>
      </c>
      <c r="P80" s="7">
        <f t="shared" ref="P80:P82" si="57">W80/N80*1</f>
        <v>1</v>
      </c>
      <c r="Q80" s="7">
        <v>0</v>
      </c>
      <c r="R80" s="7">
        <v>0</v>
      </c>
      <c r="S80" s="7">
        <v>0</v>
      </c>
      <c r="T80" s="7">
        <v>0</v>
      </c>
      <c r="U80" s="7">
        <f t="shared" si="50"/>
        <v>1.6</v>
      </c>
      <c r="V80" s="4">
        <v>0.5</v>
      </c>
      <c r="W80" s="7">
        <f t="shared" si="51"/>
        <v>2</v>
      </c>
      <c r="X80" s="4">
        <f t="shared" si="52"/>
        <v>1.4142135623731</v>
      </c>
      <c r="Y80" s="4">
        <f t="shared" si="53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4"/>
        <v>1400</v>
      </c>
      <c r="AE80" s="4">
        <f t="shared" si="55"/>
        <v>35</v>
      </c>
      <c r="AF80" s="4">
        <f t="shared" si="56"/>
        <v>22</v>
      </c>
      <c r="AG80" s="4">
        <v>0.64</v>
      </c>
      <c r="AH80" s="4">
        <v>1</v>
      </c>
      <c r="AI80">
        <f>IF(AH80=0,"",20)</f>
        <v>20</v>
      </c>
    </row>
    <row r="81" customFormat="1" spans="1:35">
      <c r="A81" s="9">
        <v>3</v>
      </c>
      <c r="B81" s="10">
        <v>1</v>
      </c>
      <c r="C81" s="10"/>
      <c r="D81" s="10"/>
      <c r="E81" s="10"/>
      <c r="F81" s="10"/>
      <c r="G81" s="10"/>
      <c r="H81" s="4">
        <v>1</v>
      </c>
      <c r="I81" s="4"/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 t="shared" ref="O81:O88" si="58">W81/N81*(1+1)</f>
        <v>4</v>
      </c>
      <c r="P81" s="7">
        <f t="shared" si="57"/>
        <v>2</v>
      </c>
      <c r="Q81" s="7">
        <v>0</v>
      </c>
      <c r="R81" s="7">
        <v>0</v>
      </c>
      <c r="S81" s="7"/>
      <c r="T81" s="7"/>
      <c r="U81" s="7">
        <f t="shared" si="50"/>
        <v>4.4</v>
      </c>
      <c r="V81" s="4">
        <f t="shared" ref="V81:V87" si="59">V79+0.1</f>
        <v>0.6</v>
      </c>
      <c r="W81" s="7">
        <f t="shared" si="51"/>
        <v>4</v>
      </c>
      <c r="X81" s="4">
        <f t="shared" si="52"/>
        <v>5.27803164309158</v>
      </c>
      <c r="Y81" s="4">
        <f t="shared" si="53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4"/>
        <v>3850</v>
      </c>
      <c r="AE81" s="4">
        <f t="shared" si="55"/>
        <v>116</v>
      </c>
      <c r="AF81" s="4">
        <f t="shared" si="56"/>
        <v>74</v>
      </c>
      <c r="AG81" s="4">
        <v>0.64</v>
      </c>
      <c r="AH81" s="4">
        <f t="shared" ref="AH81:AH85" si="60">AH79</f>
        <v>0</v>
      </c>
      <c r="AI81" t="str">
        <f t="shared" ref="AI81:AI108" si="61">IF(AH81=0,"",20)</f>
        <v/>
      </c>
    </row>
    <row r="82" customFormat="1" spans="1:35">
      <c r="A82" s="4">
        <v>4</v>
      </c>
      <c r="B82" s="7"/>
      <c r="C82" s="7"/>
      <c r="D82" s="7"/>
      <c r="E82" s="7"/>
      <c r="F82" s="7"/>
      <c r="G82" s="7"/>
      <c r="H82" s="4"/>
      <c r="I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 t="shared" si="58"/>
        <v>4</v>
      </c>
      <c r="P82" s="7">
        <f t="shared" si="57"/>
        <v>2</v>
      </c>
      <c r="Q82" s="7">
        <f t="shared" ref="Q82:Q84" si="62">W82/N82*1</f>
        <v>2</v>
      </c>
      <c r="R82" s="7">
        <v>0</v>
      </c>
      <c r="S82" s="7"/>
      <c r="T82" s="7"/>
      <c r="U82" s="7">
        <f t="shared" si="50"/>
        <v>6.4</v>
      </c>
      <c r="V82" s="4">
        <f t="shared" si="59"/>
        <v>0.6</v>
      </c>
      <c r="W82" s="7">
        <f t="shared" si="51"/>
        <v>6</v>
      </c>
      <c r="X82" s="4">
        <f t="shared" si="52"/>
        <v>6.7317308726772</v>
      </c>
      <c r="Y82" s="4">
        <f t="shared" si="53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4"/>
        <v>5600</v>
      </c>
      <c r="AE82" s="4">
        <f t="shared" si="55"/>
        <v>168</v>
      </c>
      <c r="AF82" s="4">
        <f t="shared" si="56"/>
        <v>108</v>
      </c>
      <c r="AG82" s="4">
        <v>0.64</v>
      </c>
      <c r="AH82" s="4">
        <f t="shared" ref="AH82:AH86" si="63">AH80+1</f>
        <v>2</v>
      </c>
      <c r="AI82">
        <f t="shared" si="61"/>
        <v>20</v>
      </c>
    </row>
    <row r="83" customFormat="1" spans="1:35">
      <c r="A83" s="9">
        <v>5</v>
      </c>
      <c r="B83" s="10"/>
      <c r="C83" s="10">
        <v>1</v>
      </c>
      <c r="D83" s="10"/>
      <c r="E83" s="10"/>
      <c r="F83" s="10"/>
      <c r="G83" s="10"/>
      <c r="H83" s="4"/>
      <c r="I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si="58"/>
        <v>4.66666666666667</v>
      </c>
      <c r="P83" s="7">
        <f t="shared" ref="P83:P90" si="64">W83/N83*(1+0.5)</f>
        <v>3.5</v>
      </c>
      <c r="Q83" s="7">
        <f t="shared" si="62"/>
        <v>2.33333333333333</v>
      </c>
      <c r="R83" s="7">
        <v>0</v>
      </c>
      <c r="S83" s="7"/>
      <c r="T83" s="7"/>
      <c r="U83" s="7">
        <f t="shared" si="50"/>
        <v>8.63333333333333</v>
      </c>
      <c r="V83" s="4">
        <f t="shared" si="59"/>
        <v>0.7</v>
      </c>
      <c r="W83" s="7">
        <f t="shared" si="51"/>
        <v>7</v>
      </c>
      <c r="X83" s="4">
        <f t="shared" si="52"/>
        <v>11.4781890822733</v>
      </c>
      <c r="Y83" s="4">
        <f t="shared" si="53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4"/>
        <v>7554.16666666667</v>
      </c>
      <c r="AE83" s="4">
        <f t="shared" si="55"/>
        <v>132</v>
      </c>
      <c r="AF83" s="4">
        <f t="shared" si="56"/>
        <v>93</v>
      </c>
      <c r="AG83" s="4">
        <v>0.7</v>
      </c>
      <c r="AH83" s="4">
        <f t="shared" si="60"/>
        <v>0</v>
      </c>
      <c r="AI83" t="str">
        <f t="shared" si="61"/>
        <v/>
      </c>
    </row>
    <row r="84" customFormat="1" spans="1:35">
      <c r="A84" s="4">
        <v>6</v>
      </c>
      <c r="B84" s="7"/>
      <c r="C84" s="7"/>
      <c r="D84" s="7"/>
      <c r="E84" s="7"/>
      <c r="F84" s="7"/>
      <c r="G84" s="7"/>
      <c r="H84" s="4"/>
      <c r="I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4</v>
      </c>
      <c r="P84" s="7">
        <f t="shared" si="64"/>
        <v>3</v>
      </c>
      <c r="Q84" s="7">
        <f t="shared" si="62"/>
        <v>2</v>
      </c>
      <c r="R84" s="7">
        <f t="shared" ref="R84:R86" si="65">W84/N84*1</f>
        <v>2</v>
      </c>
      <c r="S84" s="7"/>
      <c r="T84" s="7"/>
      <c r="U84" s="7">
        <f t="shared" si="50"/>
        <v>9.4</v>
      </c>
      <c r="V84" s="4">
        <f t="shared" si="59"/>
        <v>0.7</v>
      </c>
      <c r="W84" s="7">
        <f t="shared" si="51"/>
        <v>8</v>
      </c>
      <c r="X84" s="4">
        <f t="shared" si="52"/>
        <v>11.3137084989848</v>
      </c>
      <c r="Y84" s="4">
        <f t="shared" si="53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4"/>
        <v>8225</v>
      </c>
      <c r="AE84" s="4">
        <f t="shared" si="55"/>
        <v>288</v>
      </c>
      <c r="AF84" s="4">
        <f t="shared" si="56"/>
        <v>202</v>
      </c>
      <c r="AG84" s="4">
        <v>0.7</v>
      </c>
      <c r="AH84" s="4">
        <f t="shared" si="63"/>
        <v>3</v>
      </c>
      <c r="AI84">
        <f t="shared" si="61"/>
        <v>20</v>
      </c>
    </row>
    <row r="85" customFormat="1" spans="1:35">
      <c r="A85" s="9">
        <v>7</v>
      </c>
      <c r="B85" s="10"/>
      <c r="C85" s="10"/>
      <c r="D85" s="10">
        <v>1</v>
      </c>
      <c r="E85" s="10"/>
      <c r="F85" s="10"/>
      <c r="G85" s="10"/>
      <c r="H85" s="4"/>
      <c r="I85" s="4"/>
      <c r="J85" s="7">
        <v>0.5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5</v>
      </c>
      <c r="P85" s="7">
        <f t="shared" si="64"/>
        <v>3.75</v>
      </c>
      <c r="Q85" s="7">
        <f t="shared" ref="Q85:Q92" si="66">W85/N85*(1+0.5)</f>
        <v>3.75</v>
      </c>
      <c r="R85" s="7">
        <f t="shared" si="65"/>
        <v>2.5</v>
      </c>
      <c r="S85" s="7"/>
      <c r="T85" s="7"/>
      <c r="U85" s="7">
        <f t="shared" si="50"/>
        <v>13</v>
      </c>
      <c r="V85" s="4">
        <f t="shared" si="59"/>
        <v>0.8</v>
      </c>
      <c r="W85" s="7">
        <f t="shared" si="51"/>
        <v>10</v>
      </c>
      <c r="X85" s="4">
        <f t="shared" si="52"/>
        <v>22.8652525963663</v>
      </c>
      <c r="Y85" s="4">
        <f t="shared" si="53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4"/>
        <v>11375</v>
      </c>
      <c r="AE85" s="4">
        <f t="shared" si="55"/>
        <v>455</v>
      </c>
      <c r="AF85" s="4">
        <f t="shared" si="56"/>
        <v>319</v>
      </c>
      <c r="AG85" s="4">
        <v>0.7</v>
      </c>
      <c r="AH85" s="4">
        <f t="shared" si="60"/>
        <v>0</v>
      </c>
      <c r="AI85" t="str">
        <f t="shared" si="61"/>
        <v/>
      </c>
    </row>
    <row r="86" customFormat="1" spans="1:35">
      <c r="A86" s="4">
        <v>8</v>
      </c>
      <c r="B86" s="7"/>
      <c r="C86" s="7"/>
      <c r="D86" s="7"/>
      <c r="E86" s="7"/>
      <c r="F86" s="7"/>
      <c r="G86" s="7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4</v>
      </c>
      <c r="P86" s="7">
        <f t="shared" si="64"/>
        <v>3</v>
      </c>
      <c r="Q86" s="7">
        <f t="shared" si="66"/>
        <v>3</v>
      </c>
      <c r="R86" s="7">
        <f t="shared" si="65"/>
        <v>2</v>
      </c>
      <c r="S86" s="7">
        <f>W86/N86*1</f>
        <v>2</v>
      </c>
      <c r="T86" s="7"/>
      <c r="U86" s="7">
        <f t="shared" si="50"/>
        <v>12.4</v>
      </c>
      <c r="V86" s="4">
        <f t="shared" si="59"/>
        <v>0.8</v>
      </c>
      <c r="W86" s="7">
        <f t="shared" si="51"/>
        <v>10</v>
      </c>
      <c r="X86" s="4">
        <f t="shared" si="52"/>
        <v>19.1270499958007</v>
      </c>
      <c r="Y86" s="4">
        <f t="shared" si="53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4"/>
        <v>10850</v>
      </c>
      <c r="AE86" s="4">
        <f t="shared" si="55"/>
        <v>434</v>
      </c>
      <c r="AF86" s="4">
        <f t="shared" si="56"/>
        <v>304</v>
      </c>
      <c r="AG86" s="4">
        <v>0.7</v>
      </c>
      <c r="AH86" s="4">
        <f t="shared" si="63"/>
        <v>4</v>
      </c>
      <c r="AI86">
        <f t="shared" si="61"/>
        <v>20</v>
      </c>
    </row>
    <row r="87" customFormat="1" spans="1:35">
      <c r="A87" s="9">
        <v>9</v>
      </c>
      <c r="B87" s="10"/>
      <c r="C87" s="10"/>
      <c r="D87" s="10"/>
      <c r="E87" s="10">
        <v>1</v>
      </c>
      <c r="F87" s="10"/>
      <c r="G87" s="10"/>
      <c r="H87" s="4"/>
      <c r="I87" s="4"/>
      <c r="J87" s="7">
        <v>0</v>
      </c>
      <c r="K87" s="7">
        <v>0.5</v>
      </c>
      <c r="L87" s="7">
        <v>0</v>
      </c>
      <c r="M87" s="7">
        <v>0</v>
      </c>
      <c r="N87" s="7">
        <v>5</v>
      </c>
      <c r="O87" s="4">
        <f t="shared" si="58"/>
        <v>4.8</v>
      </c>
      <c r="P87" s="7">
        <f t="shared" si="64"/>
        <v>3.6</v>
      </c>
      <c r="Q87" s="7">
        <f t="shared" si="66"/>
        <v>3.6</v>
      </c>
      <c r="R87" s="7">
        <f t="shared" ref="R87:R94" si="67">W87/N87*(1+0.5)</f>
        <v>3.6</v>
      </c>
      <c r="S87" s="7">
        <f>W87/N87*1</f>
        <v>2.4</v>
      </c>
      <c r="T87" s="7"/>
      <c r="U87" s="7">
        <f t="shared" si="50"/>
        <v>16.08</v>
      </c>
      <c r="V87" s="4">
        <f t="shared" si="59"/>
        <v>0.9</v>
      </c>
      <c r="W87" s="7">
        <f t="shared" si="51"/>
        <v>12</v>
      </c>
      <c r="X87" s="4">
        <f t="shared" si="52"/>
        <v>38.4043337359078</v>
      </c>
      <c r="Y87" s="4">
        <f t="shared" si="53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4"/>
        <v>14070</v>
      </c>
      <c r="AE87" s="4">
        <f t="shared" si="55"/>
        <v>633</v>
      </c>
      <c r="AF87" s="4">
        <f t="shared" si="56"/>
        <v>443</v>
      </c>
      <c r="AG87" s="4">
        <v>0.7</v>
      </c>
      <c r="AH87" s="4">
        <f t="shared" ref="AH87:AH91" si="68">AH85</f>
        <v>0</v>
      </c>
      <c r="AI87" t="str">
        <f t="shared" si="61"/>
        <v/>
      </c>
    </row>
    <row r="88" customFormat="1" spans="1:35">
      <c r="A88" s="11">
        <v>10</v>
      </c>
      <c r="B88" s="12"/>
      <c r="C88" s="12"/>
      <c r="D88" s="12"/>
      <c r="E88" s="12"/>
      <c r="F88" s="12">
        <v>1</v>
      </c>
      <c r="G88" s="12"/>
      <c r="H88" s="4"/>
      <c r="I88" s="4"/>
      <c r="J88" s="7">
        <v>0</v>
      </c>
      <c r="K88" s="7">
        <v>0</v>
      </c>
      <c r="L88" s="7">
        <v>0.5</v>
      </c>
      <c r="M88" s="7">
        <v>0.5</v>
      </c>
      <c r="N88" s="7">
        <v>6</v>
      </c>
      <c r="O88" s="4">
        <f t="shared" si="58"/>
        <v>4.66666666666667</v>
      </c>
      <c r="P88" s="7">
        <f t="shared" si="64"/>
        <v>3.5</v>
      </c>
      <c r="Q88" s="7">
        <f t="shared" si="66"/>
        <v>3.5</v>
      </c>
      <c r="R88" s="7">
        <f t="shared" si="67"/>
        <v>3.5</v>
      </c>
      <c r="S88" s="7">
        <f t="shared" ref="S88:S96" si="69">W88/N88*(1+0.5)</f>
        <v>3.5</v>
      </c>
      <c r="T88" s="7">
        <f>W88/N88*1</f>
        <v>2.33333333333333</v>
      </c>
      <c r="U88" s="7">
        <f t="shared" si="50"/>
        <v>19.1333333333333</v>
      </c>
      <c r="V88" s="4">
        <v>1</v>
      </c>
      <c r="W88" s="7">
        <f t="shared" si="51"/>
        <v>14</v>
      </c>
      <c r="X88" s="4">
        <f t="shared" si="52"/>
        <v>65.3333333333333</v>
      </c>
      <c r="Y88" s="4">
        <f t="shared" si="53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4"/>
        <v>16741.6666666667</v>
      </c>
      <c r="AE88" s="4">
        <f t="shared" si="55"/>
        <v>419</v>
      </c>
      <c r="AF88" s="4">
        <f t="shared" si="56"/>
        <v>335</v>
      </c>
      <c r="AG88" s="4">
        <v>0.8</v>
      </c>
      <c r="AH88" s="4">
        <f t="shared" ref="AH88:AH92" si="70">AH86+1</f>
        <v>5</v>
      </c>
      <c r="AI88">
        <f t="shared" si="61"/>
        <v>20</v>
      </c>
    </row>
    <row r="89" customFormat="1" spans="1:35">
      <c r="A89" s="9">
        <v>11</v>
      </c>
      <c r="B89" s="10">
        <v>1</v>
      </c>
      <c r="C89" s="10"/>
      <c r="D89" s="10"/>
      <c r="E89" s="10"/>
      <c r="F89" s="10"/>
      <c r="G89" s="10">
        <v>1</v>
      </c>
      <c r="H89" s="4">
        <v>0.5</v>
      </c>
      <c r="I89" s="4"/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ref="O89:O100" si="71">W89/N89*(1+1)*(1+0.5)</f>
        <v>7</v>
      </c>
      <c r="P89" s="7">
        <f t="shared" si="64"/>
        <v>3.5</v>
      </c>
      <c r="Q89" s="7">
        <f t="shared" si="66"/>
        <v>3.5</v>
      </c>
      <c r="R89" s="7">
        <f t="shared" si="67"/>
        <v>3.5</v>
      </c>
      <c r="S89" s="7">
        <f t="shared" si="69"/>
        <v>3.5</v>
      </c>
      <c r="T89" s="7">
        <f t="shared" ref="T89:T98" si="72">W89/N89*(1+0.5)</f>
        <v>3.5</v>
      </c>
      <c r="U89" s="7">
        <f t="shared" si="50"/>
        <v>21.7</v>
      </c>
      <c r="V89" s="4">
        <v>1</v>
      </c>
      <c r="W89" s="7">
        <f t="shared" si="51"/>
        <v>14</v>
      </c>
      <c r="X89" s="4">
        <f t="shared" si="52"/>
        <v>98</v>
      </c>
      <c r="Y89" s="4">
        <f t="shared" si="53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4"/>
        <v>18987.5</v>
      </c>
      <c r="AE89" s="4">
        <f t="shared" si="55"/>
        <v>633</v>
      </c>
      <c r="AF89" s="4">
        <f t="shared" si="56"/>
        <v>506</v>
      </c>
      <c r="AG89" s="4">
        <v>0.8</v>
      </c>
      <c r="AH89" s="4">
        <f t="shared" si="68"/>
        <v>0</v>
      </c>
      <c r="AI89" t="str">
        <f t="shared" si="61"/>
        <v/>
      </c>
    </row>
    <row r="90" customFormat="1" spans="1:35">
      <c r="A90" s="9">
        <v>12</v>
      </c>
      <c r="B90" s="10"/>
      <c r="C90" s="10"/>
      <c r="D90" s="10"/>
      <c r="E90" s="10"/>
      <c r="F90" s="10"/>
      <c r="G90" s="10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71"/>
        <v>8</v>
      </c>
      <c r="P90" s="7">
        <f t="shared" si="64"/>
        <v>4</v>
      </c>
      <c r="Q90" s="7">
        <f t="shared" si="66"/>
        <v>4</v>
      </c>
      <c r="R90" s="7">
        <f t="shared" si="67"/>
        <v>4</v>
      </c>
      <c r="S90" s="7">
        <f t="shared" si="69"/>
        <v>4</v>
      </c>
      <c r="T90" s="7">
        <f t="shared" si="72"/>
        <v>4</v>
      </c>
      <c r="U90" s="7">
        <f t="shared" si="50"/>
        <v>24.8</v>
      </c>
      <c r="V90" s="4">
        <v>1</v>
      </c>
      <c r="W90" s="7">
        <f t="shared" si="51"/>
        <v>16</v>
      </c>
      <c r="X90" s="4">
        <f t="shared" si="52"/>
        <v>128</v>
      </c>
      <c r="Y90" s="4">
        <f t="shared" si="53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4"/>
        <v>21700</v>
      </c>
      <c r="AE90" s="4">
        <f t="shared" si="55"/>
        <v>723</v>
      </c>
      <c r="AF90" s="4">
        <f t="shared" si="56"/>
        <v>579</v>
      </c>
      <c r="AG90" s="4">
        <v>0.8</v>
      </c>
      <c r="AH90" s="4">
        <f t="shared" si="70"/>
        <v>6</v>
      </c>
      <c r="AI90">
        <f t="shared" si="61"/>
        <v>20</v>
      </c>
    </row>
    <row r="91" customFormat="1" spans="1:35">
      <c r="A91" s="9">
        <v>13</v>
      </c>
      <c r="B91" s="10"/>
      <c r="C91" s="10">
        <v>1</v>
      </c>
      <c r="D91" s="10"/>
      <c r="E91" s="10"/>
      <c r="F91" s="10"/>
      <c r="G91" s="10"/>
      <c r="H91" s="4"/>
      <c r="I91" s="4">
        <v>1</v>
      </c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si="71"/>
        <v>0</v>
      </c>
      <c r="P91" s="7">
        <f t="shared" ref="P91:P102" si="73">W91/N91*(1+0.5)*(1+0.5)</f>
        <v>0</v>
      </c>
      <c r="Q91" s="7">
        <f t="shared" si="66"/>
        <v>0</v>
      </c>
      <c r="R91" s="7">
        <f t="shared" si="67"/>
        <v>0</v>
      </c>
      <c r="S91" s="7">
        <f t="shared" si="69"/>
        <v>0</v>
      </c>
      <c r="T91" s="7">
        <f t="shared" si="72"/>
        <v>0</v>
      </c>
      <c r="U91" s="7">
        <f t="shared" si="50"/>
        <v>0</v>
      </c>
      <c r="V91" s="4">
        <v>1</v>
      </c>
      <c r="W91" s="7">
        <f t="shared" si="51"/>
        <v>0</v>
      </c>
      <c r="X91" s="4">
        <f t="shared" si="52"/>
        <v>0</v>
      </c>
      <c r="Y91" s="4">
        <f t="shared" si="53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4"/>
        <v>0</v>
      </c>
      <c r="AE91" s="4">
        <f t="shared" si="55"/>
        <v>0</v>
      </c>
      <c r="AF91" s="4">
        <f t="shared" si="56"/>
        <v>0</v>
      </c>
      <c r="AG91" s="4">
        <v>0.8</v>
      </c>
      <c r="AH91" s="4">
        <f t="shared" si="68"/>
        <v>0</v>
      </c>
      <c r="AI91" t="str">
        <f t="shared" si="61"/>
        <v/>
      </c>
    </row>
    <row r="92" customFormat="1" spans="1:35">
      <c r="A92" s="9">
        <v>14</v>
      </c>
      <c r="B92" s="10"/>
      <c r="C92" s="10"/>
      <c r="D92" s="10"/>
      <c r="E92" s="10"/>
      <c r="F92" s="10"/>
      <c r="G92" s="10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71"/>
        <v>0</v>
      </c>
      <c r="P92" s="7">
        <f t="shared" si="73"/>
        <v>0</v>
      </c>
      <c r="Q92" s="7">
        <f t="shared" si="66"/>
        <v>0</v>
      </c>
      <c r="R92" s="7">
        <f t="shared" si="67"/>
        <v>0</v>
      </c>
      <c r="S92" s="7">
        <f t="shared" si="69"/>
        <v>0</v>
      </c>
      <c r="T92" s="7">
        <f t="shared" si="72"/>
        <v>0</v>
      </c>
      <c r="U92" s="7">
        <f t="shared" si="50"/>
        <v>0</v>
      </c>
      <c r="V92" s="4">
        <v>1</v>
      </c>
      <c r="W92" s="7">
        <f t="shared" si="51"/>
        <v>0</v>
      </c>
      <c r="X92" s="4">
        <f t="shared" si="52"/>
        <v>0</v>
      </c>
      <c r="Y92" s="4">
        <f t="shared" si="53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4"/>
        <v>0</v>
      </c>
      <c r="AE92" s="4">
        <f t="shared" si="55"/>
        <v>0</v>
      </c>
      <c r="AF92" s="4">
        <f t="shared" si="56"/>
        <v>0</v>
      </c>
      <c r="AG92" s="4">
        <v>0.8</v>
      </c>
      <c r="AH92" s="4">
        <f t="shared" si="70"/>
        <v>7</v>
      </c>
      <c r="AI92">
        <f t="shared" si="61"/>
        <v>20</v>
      </c>
    </row>
    <row r="93" customFormat="1" spans="1:35">
      <c r="A93" s="9">
        <v>15</v>
      </c>
      <c r="B93" s="10"/>
      <c r="C93" s="10"/>
      <c r="D93" s="10">
        <v>1</v>
      </c>
      <c r="E93" s="10"/>
      <c r="F93" s="10"/>
      <c r="G93" s="10"/>
      <c r="H93" s="4"/>
      <c r="I93" s="4"/>
      <c r="J93" s="7">
        <v>0.5</v>
      </c>
      <c r="K93" s="7">
        <v>0</v>
      </c>
      <c r="L93" s="7">
        <v>0</v>
      </c>
      <c r="M93" s="7">
        <v>0</v>
      </c>
      <c r="N93" s="7">
        <v>6</v>
      </c>
      <c r="O93" s="4">
        <f t="shared" si="71"/>
        <v>0</v>
      </c>
      <c r="P93" s="7">
        <f t="shared" si="73"/>
        <v>0</v>
      </c>
      <c r="Q93" s="7">
        <f t="shared" ref="Q93:Q102" si="74">W93/N93*(1+0.5)*(1+0.5)</f>
        <v>0</v>
      </c>
      <c r="R93" s="7">
        <f t="shared" si="67"/>
        <v>0</v>
      </c>
      <c r="S93" s="7">
        <f t="shared" si="69"/>
        <v>0</v>
      </c>
      <c r="T93" s="7">
        <f t="shared" si="72"/>
        <v>0</v>
      </c>
      <c r="U93" s="7">
        <f t="shared" si="50"/>
        <v>0</v>
      </c>
      <c r="V93" s="4">
        <v>1.1</v>
      </c>
      <c r="W93" s="7">
        <f t="shared" si="51"/>
        <v>0</v>
      </c>
      <c r="X93" s="4">
        <f t="shared" si="52"/>
        <v>0</v>
      </c>
      <c r="Y93" s="4">
        <f t="shared" si="53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4"/>
        <v>0</v>
      </c>
      <c r="AE93" s="4">
        <f t="shared" si="55"/>
        <v>0</v>
      </c>
      <c r="AF93" s="4">
        <f t="shared" si="56"/>
        <v>0</v>
      </c>
      <c r="AG93" s="4">
        <v>0.9</v>
      </c>
      <c r="AH93" s="4">
        <f t="shared" ref="AH93:AH97" si="75">AH91</f>
        <v>0</v>
      </c>
      <c r="AI93" t="str">
        <f t="shared" si="61"/>
        <v/>
      </c>
    </row>
    <row r="94" customFormat="1" spans="1:35">
      <c r="A94" s="9">
        <v>16</v>
      </c>
      <c r="B94" s="10"/>
      <c r="C94" s="10"/>
      <c r="D94" s="10"/>
      <c r="E94" s="10"/>
      <c r="F94" s="10"/>
      <c r="G94" s="10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71"/>
        <v>0</v>
      </c>
      <c r="P94" s="7">
        <f t="shared" si="73"/>
        <v>0</v>
      </c>
      <c r="Q94" s="7">
        <f t="shared" si="74"/>
        <v>0</v>
      </c>
      <c r="R94" s="7">
        <f t="shared" si="67"/>
        <v>0</v>
      </c>
      <c r="S94" s="7">
        <f t="shared" si="69"/>
        <v>0</v>
      </c>
      <c r="T94" s="7">
        <f t="shared" si="72"/>
        <v>0</v>
      </c>
      <c r="U94" s="7">
        <f t="shared" si="50"/>
        <v>0</v>
      </c>
      <c r="V94" s="4">
        <v>1.1</v>
      </c>
      <c r="W94" s="7">
        <f t="shared" si="51"/>
        <v>0</v>
      </c>
      <c r="X94" s="4">
        <f t="shared" si="52"/>
        <v>0</v>
      </c>
      <c r="Y94" s="4">
        <f t="shared" si="53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4"/>
        <v>0</v>
      </c>
      <c r="AE94" s="4">
        <f t="shared" si="55"/>
        <v>0</v>
      </c>
      <c r="AF94" s="4">
        <f t="shared" si="56"/>
        <v>0</v>
      </c>
      <c r="AG94" s="4">
        <v>0.9</v>
      </c>
      <c r="AH94" s="4">
        <f t="shared" ref="AH94:AH98" si="76">AH92+1</f>
        <v>8</v>
      </c>
      <c r="AI94">
        <f t="shared" si="61"/>
        <v>20</v>
      </c>
    </row>
    <row r="95" customFormat="1" spans="1:35">
      <c r="A95" s="9">
        <v>17</v>
      </c>
      <c r="B95" s="10"/>
      <c r="C95" s="10"/>
      <c r="D95" s="10"/>
      <c r="E95" s="10">
        <v>1</v>
      </c>
      <c r="F95" s="10"/>
      <c r="G95" s="10"/>
      <c r="H95" s="4"/>
      <c r="I95" s="4"/>
      <c r="J95" s="7">
        <v>0</v>
      </c>
      <c r="K95" s="7">
        <v>0.5</v>
      </c>
      <c r="L95" s="7">
        <v>0</v>
      </c>
      <c r="M95" s="7">
        <v>0</v>
      </c>
      <c r="N95" s="7">
        <v>6</v>
      </c>
      <c r="O95" s="4">
        <f t="shared" si="71"/>
        <v>0</v>
      </c>
      <c r="P95" s="7">
        <f t="shared" si="73"/>
        <v>0</v>
      </c>
      <c r="Q95" s="7">
        <f t="shared" si="74"/>
        <v>0</v>
      </c>
      <c r="R95" s="7">
        <f t="shared" ref="R95:R104" si="77">W95/N95*(1+0.5)*(1+0.5)</f>
        <v>0</v>
      </c>
      <c r="S95" s="7">
        <f t="shared" si="69"/>
        <v>0</v>
      </c>
      <c r="T95" s="7">
        <f t="shared" si="72"/>
        <v>0</v>
      </c>
      <c r="U95" s="7">
        <f t="shared" si="50"/>
        <v>0</v>
      </c>
      <c r="V95" s="4">
        <v>1.1</v>
      </c>
      <c r="W95" s="7">
        <f t="shared" si="51"/>
        <v>0</v>
      </c>
      <c r="X95" s="4">
        <f t="shared" si="52"/>
        <v>0</v>
      </c>
      <c r="Y95" s="4">
        <f t="shared" si="53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4"/>
        <v>0</v>
      </c>
      <c r="AE95" s="4">
        <f t="shared" si="55"/>
        <v>0</v>
      </c>
      <c r="AF95" s="4">
        <f t="shared" si="56"/>
        <v>0</v>
      </c>
      <c r="AG95" s="4">
        <v>0.9</v>
      </c>
      <c r="AH95" s="4">
        <f t="shared" si="75"/>
        <v>0</v>
      </c>
      <c r="AI95" t="str">
        <f t="shared" si="61"/>
        <v/>
      </c>
    </row>
    <row r="96" customFormat="1" spans="1:35">
      <c r="A96" s="9">
        <v>18</v>
      </c>
      <c r="B96" s="10"/>
      <c r="C96" s="10"/>
      <c r="D96" s="10"/>
      <c r="E96" s="10"/>
      <c r="F96" s="10"/>
      <c r="G96" s="10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1"/>
        <v>0</v>
      </c>
      <c r="P96" s="7">
        <f t="shared" si="73"/>
        <v>0</v>
      </c>
      <c r="Q96" s="7">
        <f t="shared" si="74"/>
        <v>0</v>
      </c>
      <c r="R96" s="7">
        <f t="shared" si="77"/>
        <v>0</v>
      </c>
      <c r="S96" s="7">
        <f t="shared" si="69"/>
        <v>0</v>
      </c>
      <c r="T96" s="7">
        <f t="shared" si="72"/>
        <v>0</v>
      </c>
      <c r="U96" s="7">
        <f t="shared" si="50"/>
        <v>0</v>
      </c>
      <c r="V96" s="4">
        <v>1.1</v>
      </c>
      <c r="W96" s="7">
        <f t="shared" si="51"/>
        <v>0</v>
      </c>
      <c r="X96" s="4">
        <f t="shared" si="52"/>
        <v>0</v>
      </c>
      <c r="Y96" s="4">
        <f t="shared" si="53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4"/>
        <v>0</v>
      </c>
      <c r="AE96" s="4">
        <f t="shared" si="55"/>
        <v>0</v>
      </c>
      <c r="AF96" s="4">
        <f t="shared" si="56"/>
        <v>0</v>
      </c>
      <c r="AG96" s="4">
        <v>0.9</v>
      </c>
      <c r="AH96" s="4">
        <f t="shared" si="76"/>
        <v>9</v>
      </c>
      <c r="AI96">
        <f t="shared" si="61"/>
        <v>20</v>
      </c>
    </row>
    <row r="97" customFormat="1" spans="1:35">
      <c r="A97" s="9">
        <v>19</v>
      </c>
      <c r="B97" s="10"/>
      <c r="C97" s="10"/>
      <c r="D97" s="10"/>
      <c r="E97" s="10"/>
      <c r="F97" s="10">
        <v>1</v>
      </c>
      <c r="G97" s="10"/>
      <c r="H97" s="4"/>
      <c r="I97" s="4"/>
      <c r="J97" s="7">
        <v>0</v>
      </c>
      <c r="K97" s="7">
        <v>0</v>
      </c>
      <c r="L97" s="7">
        <v>0.5</v>
      </c>
      <c r="M97" s="7">
        <v>0</v>
      </c>
      <c r="N97" s="7">
        <v>6</v>
      </c>
      <c r="O97" s="4">
        <f t="shared" si="71"/>
        <v>0</v>
      </c>
      <c r="P97" s="7">
        <f t="shared" si="73"/>
        <v>0</v>
      </c>
      <c r="Q97" s="7">
        <f t="shared" si="74"/>
        <v>0</v>
      </c>
      <c r="R97" s="7">
        <f t="shared" si="77"/>
        <v>0</v>
      </c>
      <c r="S97" s="7">
        <f t="shared" ref="S97:S106" si="78">W97/N97*(1+0.5)*(1+0.5)</f>
        <v>0</v>
      </c>
      <c r="T97" s="7">
        <f t="shared" si="72"/>
        <v>0</v>
      </c>
      <c r="U97" s="7">
        <f t="shared" si="50"/>
        <v>0</v>
      </c>
      <c r="V97" s="4">
        <v>1.1</v>
      </c>
      <c r="W97" s="7">
        <f t="shared" si="51"/>
        <v>0</v>
      </c>
      <c r="X97" s="4">
        <f t="shared" si="52"/>
        <v>0</v>
      </c>
      <c r="Y97" s="4">
        <f t="shared" si="53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4"/>
        <v>0</v>
      </c>
      <c r="AE97" s="4">
        <f t="shared" si="55"/>
        <v>0</v>
      </c>
      <c r="AF97" s="4">
        <f t="shared" si="56"/>
        <v>0</v>
      </c>
      <c r="AG97" s="4">
        <v>0.9</v>
      </c>
      <c r="AH97" s="4">
        <f t="shared" si="75"/>
        <v>0</v>
      </c>
      <c r="AI97" t="str">
        <f t="shared" si="61"/>
        <v/>
      </c>
    </row>
    <row r="98" customFormat="1" spans="1:35">
      <c r="A98" s="9">
        <v>20</v>
      </c>
      <c r="B98" s="10"/>
      <c r="C98" s="10"/>
      <c r="D98" s="10"/>
      <c r="E98" s="10"/>
      <c r="F98" s="10"/>
      <c r="G98" s="10"/>
      <c r="H98" s="4"/>
      <c r="I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1"/>
        <v>0</v>
      </c>
      <c r="P98" s="7">
        <f t="shared" si="73"/>
        <v>0</v>
      </c>
      <c r="Q98" s="7">
        <f t="shared" si="74"/>
        <v>0</v>
      </c>
      <c r="R98" s="7">
        <f t="shared" si="77"/>
        <v>0</v>
      </c>
      <c r="S98" s="7">
        <f t="shared" si="78"/>
        <v>0</v>
      </c>
      <c r="T98" s="7">
        <f t="shared" si="72"/>
        <v>0</v>
      </c>
      <c r="U98" s="7">
        <f t="shared" si="50"/>
        <v>0</v>
      </c>
      <c r="V98" s="4">
        <v>1.2</v>
      </c>
      <c r="W98" s="7">
        <f t="shared" si="51"/>
        <v>0</v>
      </c>
      <c r="X98" s="4">
        <f t="shared" si="52"/>
        <v>0</v>
      </c>
      <c r="Y98" s="4">
        <f t="shared" si="53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4"/>
        <v>0</v>
      </c>
      <c r="AE98" s="4">
        <f t="shared" si="55"/>
        <v>0</v>
      </c>
      <c r="AF98" s="4">
        <f t="shared" si="56"/>
        <v>0</v>
      </c>
      <c r="AG98" s="4">
        <v>1</v>
      </c>
      <c r="AH98" s="4">
        <f t="shared" si="76"/>
        <v>10</v>
      </c>
      <c r="AI98">
        <f t="shared" si="61"/>
        <v>20</v>
      </c>
    </row>
    <row r="99" spans="1:35">
      <c r="A99" s="9">
        <v>21</v>
      </c>
      <c r="B99" s="10"/>
      <c r="C99" s="10"/>
      <c r="D99" s="13"/>
      <c r="E99" s="13"/>
      <c r="F99" s="13"/>
      <c r="G99" s="10">
        <v>1</v>
      </c>
      <c r="H99" s="4"/>
      <c r="I99" s="4"/>
      <c r="J99" s="7">
        <v>0</v>
      </c>
      <c r="K99" s="7">
        <v>0</v>
      </c>
      <c r="L99" s="7">
        <v>0</v>
      </c>
      <c r="M99" s="7">
        <v>0.5</v>
      </c>
      <c r="N99" s="7">
        <v>6</v>
      </c>
      <c r="O99" s="4">
        <f t="shared" si="71"/>
        <v>0</v>
      </c>
      <c r="P99" s="7">
        <f t="shared" si="73"/>
        <v>0</v>
      </c>
      <c r="Q99" s="7">
        <f t="shared" si="74"/>
        <v>0</v>
      </c>
      <c r="R99" s="7">
        <f t="shared" si="77"/>
        <v>0</v>
      </c>
      <c r="S99" s="7">
        <f t="shared" si="78"/>
        <v>0</v>
      </c>
      <c r="T99" s="7">
        <f t="shared" ref="T99:T108" si="79">W99/N99*(1+0.5)*(1+0.5)</f>
        <v>0</v>
      </c>
      <c r="U99" s="7">
        <f t="shared" ref="U99:U108" si="80">SUM(P99:T99)+O99*1</f>
        <v>0</v>
      </c>
      <c r="V99" s="4">
        <v>1.2</v>
      </c>
      <c r="W99" s="7">
        <f t="shared" si="51"/>
        <v>0</v>
      </c>
      <c r="X99" s="4">
        <f t="shared" si="52"/>
        <v>0</v>
      </c>
      <c r="Y99" s="4">
        <f t="shared" si="53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4"/>
        <v>0</v>
      </c>
      <c r="AE99" s="4">
        <f t="shared" si="55"/>
        <v>0</v>
      </c>
      <c r="AF99" s="4">
        <f t="shared" si="56"/>
        <v>0</v>
      </c>
      <c r="AG99" s="4">
        <v>1</v>
      </c>
      <c r="AH99" s="4">
        <f t="shared" ref="AH99:AH103" si="81">AH97</f>
        <v>0</v>
      </c>
      <c r="AI99" t="str">
        <f t="shared" si="61"/>
        <v/>
      </c>
    </row>
    <row r="100" spans="1:35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 t="shared" si="71"/>
        <v>0</v>
      </c>
      <c r="P100" s="7">
        <f t="shared" si="73"/>
        <v>0</v>
      </c>
      <c r="Q100" s="7">
        <f t="shared" si="74"/>
        <v>0</v>
      </c>
      <c r="R100" s="7">
        <f t="shared" si="77"/>
        <v>0</v>
      </c>
      <c r="S100" s="7">
        <f t="shared" si="78"/>
        <v>0</v>
      </c>
      <c r="T100" s="7">
        <f t="shared" si="79"/>
        <v>0</v>
      </c>
      <c r="U100" s="7">
        <f t="shared" si="80"/>
        <v>0</v>
      </c>
      <c r="V100" s="4">
        <v>1.2</v>
      </c>
      <c r="W100" s="7">
        <f t="shared" si="51"/>
        <v>0</v>
      </c>
      <c r="X100" s="4">
        <f t="shared" si="52"/>
        <v>0</v>
      </c>
      <c r="Y100" s="4">
        <f t="shared" si="53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4"/>
        <v>0</v>
      </c>
      <c r="AE100" s="4">
        <f t="shared" si="55"/>
        <v>0</v>
      </c>
      <c r="AF100" s="4">
        <f t="shared" si="56"/>
        <v>0</v>
      </c>
      <c r="AG100" s="4">
        <v>1</v>
      </c>
      <c r="AH100" s="4">
        <f t="shared" ref="AH100:AH104" si="82">AH98+1</f>
        <v>11</v>
      </c>
      <c r="AI100">
        <f t="shared" si="61"/>
        <v>20</v>
      </c>
    </row>
    <row r="101" spans="1:35">
      <c r="A101" s="9">
        <v>23</v>
      </c>
      <c r="B101" s="10">
        <v>1</v>
      </c>
      <c r="C101" s="10"/>
      <c r="D101" s="13"/>
      <c r="E101" s="13"/>
      <c r="F101" s="13"/>
      <c r="G101" s="13"/>
      <c r="H101" s="4">
        <v>1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 t="shared" ref="O101:O108" si="83">W101/N101*(1+1)*(1+1.5)</f>
        <v>0</v>
      </c>
      <c r="P101" s="7">
        <f t="shared" si="73"/>
        <v>0</v>
      </c>
      <c r="Q101" s="7">
        <f t="shared" si="74"/>
        <v>0</v>
      </c>
      <c r="R101" s="7">
        <f t="shared" si="77"/>
        <v>0</v>
      </c>
      <c r="S101" s="7">
        <f t="shared" si="78"/>
        <v>0</v>
      </c>
      <c r="T101" s="7">
        <f t="shared" si="79"/>
        <v>0</v>
      </c>
      <c r="U101" s="7">
        <f t="shared" si="80"/>
        <v>0</v>
      </c>
      <c r="V101" s="4">
        <v>1.2</v>
      </c>
      <c r="W101" s="7">
        <f t="shared" si="51"/>
        <v>0</v>
      </c>
      <c r="X101" s="4">
        <f t="shared" si="52"/>
        <v>0</v>
      </c>
      <c r="Y101" s="4">
        <f t="shared" si="53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4"/>
        <v>0</v>
      </c>
      <c r="AE101" s="4">
        <f t="shared" si="55"/>
        <v>0</v>
      </c>
      <c r="AF101" s="4">
        <f t="shared" si="56"/>
        <v>0</v>
      </c>
      <c r="AG101" s="4">
        <v>1</v>
      </c>
      <c r="AH101" s="4">
        <f t="shared" si="81"/>
        <v>0</v>
      </c>
      <c r="AI101" t="str">
        <f t="shared" si="61"/>
        <v/>
      </c>
    </row>
    <row r="102" spans="1:35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 t="shared" si="83"/>
        <v>0</v>
      </c>
      <c r="P102" s="7">
        <f t="shared" si="73"/>
        <v>0</v>
      </c>
      <c r="Q102" s="7">
        <f t="shared" si="74"/>
        <v>0</v>
      </c>
      <c r="R102" s="7">
        <f t="shared" si="77"/>
        <v>0</v>
      </c>
      <c r="S102" s="7">
        <f t="shared" si="78"/>
        <v>0</v>
      </c>
      <c r="T102" s="7">
        <f t="shared" si="79"/>
        <v>0</v>
      </c>
      <c r="U102" s="7">
        <f t="shared" si="80"/>
        <v>0</v>
      </c>
      <c r="V102" s="4">
        <v>1.2</v>
      </c>
      <c r="W102" s="7">
        <f t="shared" si="51"/>
        <v>0</v>
      </c>
      <c r="X102" s="4">
        <f t="shared" si="52"/>
        <v>0</v>
      </c>
      <c r="Y102" s="4">
        <f t="shared" si="53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4"/>
        <v>0</v>
      </c>
      <c r="AE102" s="4">
        <f t="shared" si="55"/>
        <v>0</v>
      </c>
      <c r="AF102" s="4">
        <f t="shared" si="56"/>
        <v>0</v>
      </c>
      <c r="AG102" s="4">
        <v>1</v>
      </c>
      <c r="AH102" s="4">
        <f t="shared" si="82"/>
        <v>12</v>
      </c>
      <c r="AI102">
        <f t="shared" si="61"/>
        <v>20</v>
      </c>
    </row>
    <row r="103" spans="1:35">
      <c r="A103" s="9">
        <v>25</v>
      </c>
      <c r="B103" s="9"/>
      <c r="C103" s="9">
        <v>1</v>
      </c>
      <c r="D103" s="9">
        <v>1</v>
      </c>
      <c r="E103" s="9"/>
      <c r="F103" s="9"/>
      <c r="G103" s="9"/>
      <c r="H103" s="4"/>
      <c r="I103" s="4">
        <v>0.5</v>
      </c>
      <c r="J103" s="7">
        <v>0.5</v>
      </c>
      <c r="K103" s="7">
        <v>0</v>
      </c>
      <c r="L103" s="7">
        <v>0</v>
      </c>
      <c r="M103" s="7">
        <v>0</v>
      </c>
      <c r="N103" s="7">
        <v>6</v>
      </c>
      <c r="O103" s="4">
        <f t="shared" si="83"/>
        <v>0</v>
      </c>
      <c r="P103" s="7">
        <f t="shared" ref="P103:P108" si="84">W103/N103*(1+1)*(1+0.5)</f>
        <v>0</v>
      </c>
      <c r="Q103" s="7">
        <f t="shared" ref="Q103:Q108" si="85">W103/N103*(1+1)*(1+0.5)</f>
        <v>0</v>
      </c>
      <c r="R103" s="7">
        <f t="shared" si="77"/>
        <v>0</v>
      </c>
      <c r="S103" s="7">
        <f t="shared" si="78"/>
        <v>0</v>
      </c>
      <c r="T103" s="7">
        <f t="shared" si="79"/>
        <v>0</v>
      </c>
      <c r="U103" s="7">
        <f t="shared" si="80"/>
        <v>0</v>
      </c>
      <c r="V103" s="4">
        <v>1.3</v>
      </c>
      <c r="W103" s="7">
        <f t="shared" si="51"/>
        <v>0</v>
      </c>
      <c r="X103" s="4">
        <f t="shared" si="52"/>
        <v>0</v>
      </c>
      <c r="Y103" s="4">
        <f t="shared" si="53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4"/>
        <v>0</v>
      </c>
      <c r="AE103" s="4">
        <f t="shared" si="55"/>
        <v>0</v>
      </c>
      <c r="AF103" s="4">
        <f t="shared" si="56"/>
        <v>0</v>
      </c>
      <c r="AG103" s="4">
        <v>1</v>
      </c>
      <c r="AH103" s="4">
        <f t="shared" si="81"/>
        <v>0</v>
      </c>
      <c r="AI103" t="str">
        <f t="shared" si="61"/>
        <v/>
      </c>
    </row>
    <row r="104" spans="1:35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 t="shared" si="83"/>
        <v>0</v>
      </c>
      <c r="P104" s="7">
        <f t="shared" si="84"/>
        <v>0</v>
      </c>
      <c r="Q104" s="7">
        <f t="shared" si="85"/>
        <v>0</v>
      </c>
      <c r="R104" s="7">
        <f t="shared" si="77"/>
        <v>0</v>
      </c>
      <c r="S104" s="7">
        <f t="shared" si="78"/>
        <v>0</v>
      </c>
      <c r="T104" s="7">
        <f t="shared" si="79"/>
        <v>0</v>
      </c>
      <c r="U104" s="7">
        <f t="shared" si="80"/>
        <v>0</v>
      </c>
      <c r="V104" s="4">
        <v>1.3</v>
      </c>
      <c r="W104" s="7">
        <f t="shared" si="51"/>
        <v>0</v>
      </c>
      <c r="X104" s="4">
        <f t="shared" si="52"/>
        <v>0</v>
      </c>
      <c r="Y104" s="4">
        <f t="shared" si="53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4"/>
        <v>0</v>
      </c>
      <c r="AE104" s="4">
        <f t="shared" si="55"/>
        <v>0</v>
      </c>
      <c r="AF104" s="4">
        <f t="shared" si="56"/>
        <v>0</v>
      </c>
      <c r="AG104" s="4">
        <v>1</v>
      </c>
      <c r="AH104" s="4">
        <f t="shared" si="82"/>
        <v>13</v>
      </c>
      <c r="AI104">
        <f t="shared" si="61"/>
        <v>20</v>
      </c>
    </row>
    <row r="105" spans="1:35">
      <c r="A105" s="9">
        <v>27</v>
      </c>
      <c r="B105" s="10"/>
      <c r="C105" s="10"/>
      <c r="D105" s="9"/>
      <c r="E105" s="9">
        <v>1</v>
      </c>
      <c r="F105" s="9"/>
      <c r="G105" s="9"/>
      <c r="H105" s="4"/>
      <c r="I105" s="4"/>
      <c r="J105" s="7">
        <v>0</v>
      </c>
      <c r="K105" s="7">
        <v>0.5</v>
      </c>
      <c r="L105" s="7">
        <v>0</v>
      </c>
      <c r="M105" s="7">
        <v>0</v>
      </c>
      <c r="N105" s="7">
        <v>6</v>
      </c>
      <c r="O105" s="4">
        <f t="shared" si="83"/>
        <v>0</v>
      </c>
      <c r="P105" s="7">
        <f t="shared" si="84"/>
        <v>0</v>
      </c>
      <c r="Q105" s="7">
        <f t="shared" si="85"/>
        <v>0</v>
      </c>
      <c r="R105" s="7">
        <f t="shared" ref="R105:R108" si="86">W105/N105*(1+1)*(1+0.5)</f>
        <v>0</v>
      </c>
      <c r="S105" s="7">
        <f t="shared" si="78"/>
        <v>0</v>
      </c>
      <c r="T105" s="7">
        <f t="shared" si="79"/>
        <v>0</v>
      </c>
      <c r="U105" s="7">
        <f t="shared" si="80"/>
        <v>0</v>
      </c>
      <c r="V105" s="4">
        <v>1.3</v>
      </c>
      <c r="W105" s="7">
        <f t="shared" si="51"/>
        <v>0</v>
      </c>
      <c r="X105" s="4">
        <f t="shared" si="52"/>
        <v>0</v>
      </c>
      <c r="Y105" s="4">
        <f t="shared" si="53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4"/>
        <v>0</v>
      </c>
      <c r="AE105" s="4">
        <f t="shared" si="55"/>
        <v>0</v>
      </c>
      <c r="AF105" s="4">
        <f t="shared" si="56"/>
        <v>0</v>
      </c>
      <c r="AG105" s="4">
        <v>1</v>
      </c>
      <c r="AH105" s="4">
        <f>AH103</f>
        <v>0</v>
      </c>
      <c r="AI105" t="str">
        <f t="shared" si="61"/>
        <v/>
      </c>
    </row>
    <row r="106" spans="1:35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 t="shared" si="83"/>
        <v>0</v>
      </c>
      <c r="P106" s="7">
        <f t="shared" si="84"/>
        <v>0</v>
      </c>
      <c r="Q106" s="7">
        <f t="shared" si="85"/>
        <v>0</v>
      </c>
      <c r="R106" s="7">
        <f t="shared" si="86"/>
        <v>0</v>
      </c>
      <c r="S106" s="7">
        <f t="shared" si="78"/>
        <v>0</v>
      </c>
      <c r="T106" s="7">
        <f t="shared" si="79"/>
        <v>0</v>
      </c>
      <c r="U106" s="7">
        <f t="shared" si="80"/>
        <v>0</v>
      </c>
      <c r="V106" s="4">
        <v>1.3</v>
      </c>
      <c r="W106" s="7">
        <f t="shared" si="51"/>
        <v>0</v>
      </c>
      <c r="X106" s="4">
        <f t="shared" si="52"/>
        <v>0</v>
      </c>
      <c r="Y106" s="4">
        <f t="shared" si="53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4"/>
        <v>0</v>
      </c>
      <c r="AE106" s="4">
        <f t="shared" si="55"/>
        <v>0</v>
      </c>
      <c r="AF106" s="4">
        <f t="shared" si="56"/>
        <v>0</v>
      </c>
      <c r="AG106" s="4">
        <v>1</v>
      </c>
      <c r="AH106" s="4">
        <f>AH104+1</f>
        <v>14</v>
      </c>
      <c r="AI106">
        <f t="shared" si="61"/>
        <v>20</v>
      </c>
    </row>
    <row r="107" spans="1:35">
      <c r="A107" s="9">
        <v>29</v>
      </c>
      <c r="B107" s="10"/>
      <c r="C107" s="10"/>
      <c r="D107" s="9"/>
      <c r="E107" s="9"/>
      <c r="F107" s="9">
        <v>1</v>
      </c>
      <c r="G107" s="9"/>
      <c r="H107" s="4"/>
      <c r="I107" s="4"/>
      <c r="J107" s="7">
        <v>0</v>
      </c>
      <c r="K107" s="7">
        <v>0</v>
      </c>
      <c r="L107" s="7">
        <v>0.5</v>
      </c>
      <c r="M107" s="7">
        <v>0</v>
      </c>
      <c r="N107" s="7">
        <v>6</v>
      </c>
      <c r="O107" s="4">
        <f t="shared" si="83"/>
        <v>0</v>
      </c>
      <c r="P107" s="7">
        <f t="shared" si="84"/>
        <v>0</v>
      </c>
      <c r="Q107" s="7">
        <f t="shared" si="85"/>
        <v>0</v>
      </c>
      <c r="R107" s="7">
        <f t="shared" si="86"/>
        <v>0</v>
      </c>
      <c r="S107" s="7">
        <f>W107/N107*(1+1)*(1+0.5)</f>
        <v>0</v>
      </c>
      <c r="T107" s="7">
        <f t="shared" si="79"/>
        <v>0</v>
      </c>
      <c r="U107" s="7">
        <f t="shared" si="80"/>
        <v>0</v>
      </c>
      <c r="V107" s="4">
        <v>1.3</v>
      </c>
      <c r="W107" s="7">
        <f t="shared" si="51"/>
        <v>0</v>
      </c>
      <c r="X107" s="4">
        <f t="shared" si="52"/>
        <v>0</v>
      </c>
      <c r="Y107" s="4">
        <f t="shared" si="53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4"/>
        <v>0</v>
      </c>
      <c r="AE107" s="4">
        <f t="shared" si="55"/>
        <v>0</v>
      </c>
      <c r="AF107" s="4">
        <f t="shared" si="56"/>
        <v>0</v>
      </c>
      <c r="AG107" s="4">
        <v>1</v>
      </c>
      <c r="AH107" s="4">
        <f>AH105</f>
        <v>0</v>
      </c>
      <c r="AI107" t="str">
        <f t="shared" si="61"/>
        <v/>
      </c>
    </row>
    <row r="108" spans="1:35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 t="shared" si="83"/>
        <v>0</v>
      </c>
      <c r="P108" s="7">
        <f t="shared" si="84"/>
        <v>0</v>
      </c>
      <c r="Q108" s="7">
        <f t="shared" si="85"/>
        <v>0</v>
      </c>
      <c r="R108" s="7">
        <f t="shared" si="86"/>
        <v>0</v>
      </c>
      <c r="S108" s="7">
        <f>W108/N108*(1+1)*(1+0.5)</f>
        <v>0</v>
      </c>
      <c r="T108" s="7">
        <f t="shared" si="79"/>
        <v>0</v>
      </c>
      <c r="U108" s="7">
        <f t="shared" si="80"/>
        <v>0</v>
      </c>
      <c r="V108" s="4">
        <v>1.4</v>
      </c>
      <c r="W108" s="7">
        <f t="shared" si="51"/>
        <v>0</v>
      </c>
      <c r="X108" s="4">
        <f t="shared" si="52"/>
        <v>0</v>
      </c>
      <c r="Y108" s="4">
        <f t="shared" si="53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4"/>
        <v>0</v>
      </c>
      <c r="AE108" s="4">
        <f t="shared" si="55"/>
        <v>0</v>
      </c>
      <c r="AF108" s="4">
        <f t="shared" si="56"/>
        <v>0</v>
      </c>
      <c r="AG108" s="4">
        <v>1</v>
      </c>
      <c r="AH108" s="4">
        <f>AH106+1</f>
        <v>15</v>
      </c>
      <c r="AI108">
        <f t="shared" si="61"/>
        <v>20</v>
      </c>
    </row>
    <row r="109" spans="35:35">
      <c r="AI109" t="str">
        <f>_xlfn.TEXTJOIN(",",TRUE,AI79:AI108)</f>
        <v>20,20,20,20,20,20,20,20,20,20,20,20,20,20,20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13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501</v>
      </c>
      <c r="Y1" s="7">
        <v>3</v>
      </c>
      <c r="Z1" s="4">
        <v>502</v>
      </c>
      <c r="AA1" s="7">
        <v>503</v>
      </c>
    </row>
    <row r="2" spans="1:27">
      <c r="A2" s="7">
        <v>1</v>
      </c>
      <c r="B2" s="7">
        <v>100</v>
      </c>
      <c r="C2" s="7">
        <f t="shared" ref="C2:C1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1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501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501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13" si="7">SUM(J2,L2)+15</f>
        <v>25</v>
      </c>
      <c r="V2" s="7">
        <v>2</v>
      </c>
      <c r="W2" s="4" t="s">
        <v>577</v>
      </c>
      <c r="X2" s="8">
        <v>505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 t="shared" ref="I3:I21" si="8">IF(A3&lt;5,$X$1,IF(A3&gt;10,$AA$1,$Z$1))</f>
        <v>501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21" si="9">IF(A3&lt;5,$X$1,IF(A3&gt;10,$AA$1,$Z$1))</f>
        <v>501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506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501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501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 t="shared" si="8"/>
        <v>501</v>
      </c>
      <c r="J5" s="7">
        <v>10</v>
      </c>
      <c r="K5" s="7">
        <f>IF(H5=1,"",INDEX($X$1:$X$3,MATCH(H5,$V$1:$V$3,0)))</f>
        <v>505</v>
      </c>
      <c r="L5" s="7">
        <f t="shared" si="4"/>
        <v>5</v>
      </c>
      <c r="M5" s="7"/>
      <c r="N5" s="7">
        <f t="shared" si="9"/>
        <v>501</v>
      </c>
      <c r="O5" s="7">
        <v>10</v>
      </c>
      <c r="P5" s="7">
        <f>IF(H5=1,"",INDEX($X$1:$X$3,MATCH(H5,$V$1:$V$3,0)))</f>
        <v>505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 t="shared" si="8"/>
        <v>502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 t="shared" si="9"/>
        <v>502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502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502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502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502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 t="shared" si="8"/>
        <v>502</v>
      </c>
      <c r="J9" s="7">
        <v>10</v>
      </c>
      <c r="K9" s="7">
        <f>IF(H9=1,"",INDEX($X$1:$X$3,MATCH(H9,$V$1:$V$3,0)))</f>
        <v>505</v>
      </c>
      <c r="L9" s="7">
        <f t="shared" si="4"/>
        <v>5</v>
      </c>
      <c r="M9" s="7"/>
      <c r="N9" s="7">
        <f t="shared" si="9"/>
        <v>502</v>
      </c>
      <c r="O9" s="7">
        <v>10</v>
      </c>
      <c r="P9" s="7">
        <f>IF(H9=1,"",INDEX($X$1:$X$3,MATCH(H9,$V$1:$V$3,0)))</f>
        <v>505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502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502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 t="shared" si="8"/>
        <v>502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 t="shared" si="9"/>
        <v>502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503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503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3</v>
      </c>
      <c r="I13" s="7">
        <f t="shared" si="8"/>
        <v>503</v>
      </c>
      <c r="J13" s="7">
        <v>15</v>
      </c>
      <c r="K13" s="7">
        <f>IF(H13=1,"",INDEX($X$1:$X$3,MATCH(H13,$V$1:$V$3,0)))</f>
        <v>506</v>
      </c>
      <c r="L13" s="7">
        <f t="shared" si="4"/>
        <v>1</v>
      </c>
      <c r="M13" s="7"/>
      <c r="N13" s="7">
        <f t="shared" si="9"/>
        <v>503</v>
      </c>
      <c r="O13" s="7">
        <v>15</v>
      </c>
      <c r="P13" s="7">
        <f>IF(H13=1,"",INDEX($X$1:$X$3,MATCH(H13,$V$1:$V$3,0)))</f>
        <v>506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Y14" s="4"/>
      <c r="AA14" s="7"/>
    </row>
    <row r="15" spans="1:27">
      <c r="A15" s="7">
        <v>14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Y15" s="4"/>
      <c r="AA15" s="7"/>
    </row>
    <row r="16" spans="1:27">
      <c r="A16" s="7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Y16" s="4"/>
      <c r="AA16" s="7"/>
    </row>
    <row r="17" spans="1:27">
      <c r="A17" s="7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Y17" s="4"/>
      <c r="AA17" s="7"/>
    </row>
    <row r="18" spans="1:27">
      <c r="A18" s="7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Y18" s="4"/>
      <c r="AA18" s="7"/>
    </row>
    <row r="19" spans="1:27">
      <c r="A19" s="7">
        <v>18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Y19" s="4"/>
      <c r="AA19" s="7"/>
    </row>
    <row r="20" spans="1:27">
      <c r="A20" s="7">
        <v>19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Y20" s="4"/>
      <c r="AA20" s="7"/>
    </row>
    <row r="21" spans="1:27">
      <c r="A21" s="7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>ROUNDDOWN(B32/$X$6,0)</f>
        <v>50</v>
      </c>
      <c r="D32" s="7"/>
      <c r="E32" s="7"/>
      <c r="F32" s="7">
        <f>ROUND(C32*$Y$6/100,0)</f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331</v>
      </c>
      <c r="V32" s="7"/>
      <c r="Y32" s="4"/>
      <c r="AA32" s="7"/>
    </row>
    <row r="33" spans="1:27">
      <c r="A33" s="7"/>
      <c r="B33" s="7">
        <f>B32+960</f>
        <v>2980</v>
      </c>
      <c r="C33" s="7">
        <f>ROUNDDOWN(B33/$X$6,0)</f>
        <v>74</v>
      </c>
      <c r="D33" s="7"/>
      <c r="E33" s="7"/>
      <c r="F33" s="7">
        <f>ROUND(C33*$Y$6/100,0)</f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3">IF(I2="","",_xlfn.TEXTJOIN(",",TRUE,I2:J2))</f>
        <v>501,10</v>
      </c>
      <c r="J40" s="7" t="str">
        <f t="shared" ref="J40:J69" si="14">IF(I40="","",_xlfn.TEXTJOIN(",",TRUE,I40,H40))</f>
        <v>501,10,1</v>
      </c>
      <c r="K40" s="7" t="str">
        <f t="shared" si="13"/>
        <v/>
      </c>
      <c r="L40" s="7" t="str">
        <f t="shared" ref="L40:L69" si="15">IF(K40="","",_xlfn.TEXTJOIN(",",TRUE,K40,H40))</f>
        <v/>
      </c>
      <c r="M40" s="7" t="str">
        <f t="shared" ref="M40:M69" si="16">_xlfn.TEXTJOIN(";",TRUE,J40,L40)</f>
        <v>501,10,1</v>
      </c>
      <c r="N40" s="7" t="str">
        <f t="shared" si="13"/>
        <v>501,10</v>
      </c>
      <c r="O40" s="7" t="str">
        <f t="shared" ref="O40:O69" si="17">IF(N40="","",N40&amp;","&amp;H40)</f>
        <v>501,10,1</v>
      </c>
      <c r="P40" s="7" t="str">
        <f t="shared" ref="P40:P69" si="18">IF(P2="","",P2&amp;","&amp;Q2)</f>
        <v/>
      </c>
      <c r="Q40" s="7" t="str">
        <f t="shared" ref="Q40:Q69" si="19">IF(P40="","",P40&amp;","&amp;H40)</f>
        <v/>
      </c>
      <c r="R40" s="7" t="str">
        <f t="shared" ref="R40:R69" si="20">_xlfn.TEXTJOIN(";",TRUE,O40,Q40)</f>
        <v>501,10,1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1">IF(I3="","",_xlfn.TEXTJOIN(",",TRUE,I3:J3))</f>
        <v>501,10</v>
      </c>
      <c r="J41" s="7" t="str">
        <f t="shared" si="14"/>
        <v>501,10,2</v>
      </c>
      <c r="K41" s="7" t="str">
        <f t="shared" si="21"/>
        <v/>
      </c>
      <c r="L41" s="7" t="str">
        <f t="shared" si="15"/>
        <v/>
      </c>
      <c r="M41" s="7" t="str">
        <f t="shared" si="16"/>
        <v>501,10,2</v>
      </c>
      <c r="N41" s="7" t="str">
        <f t="shared" si="21"/>
        <v>501,10</v>
      </c>
      <c r="O41" s="7" t="str">
        <f t="shared" si="17"/>
        <v>501,10,2</v>
      </c>
      <c r="P41" s="7" t="str">
        <f t="shared" si="18"/>
        <v/>
      </c>
      <c r="Q41" s="7" t="str">
        <f t="shared" si="19"/>
        <v/>
      </c>
      <c r="R41" s="7" t="str">
        <f t="shared" si="20"/>
        <v>501,10,2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2">IF(I4="","",_xlfn.TEXTJOIN(",",TRUE,I4:J4))</f>
        <v>501,10</v>
      </c>
      <c r="J42" s="7" t="str">
        <f t="shared" si="14"/>
        <v>501,10,3</v>
      </c>
      <c r="K42" s="7" t="str">
        <f t="shared" si="22"/>
        <v/>
      </c>
      <c r="L42" s="7" t="str">
        <f t="shared" si="15"/>
        <v/>
      </c>
      <c r="M42" s="7" t="str">
        <f t="shared" si="16"/>
        <v>501,10,3</v>
      </c>
      <c r="N42" s="7" t="str">
        <f t="shared" si="22"/>
        <v>501,10</v>
      </c>
      <c r="O42" s="7" t="str">
        <f t="shared" si="17"/>
        <v>501,10,3</v>
      </c>
      <c r="P42" s="7" t="str">
        <f t="shared" si="18"/>
        <v/>
      </c>
      <c r="Q42" s="7" t="str">
        <f t="shared" si="19"/>
        <v/>
      </c>
      <c r="R42" s="7" t="str">
        <f t="shared" si="20"/>
        <v>501,10,3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3">IF(I5="","",_xlfn.TEXTJOIN(",",TRUE,I5:J5))</f>
        <v>501,10</v>
      </c>
      <c r="J43" s="7" t="str">
        <f t="shared" si="14"/>
        <v>501,10,4</v>
      </c>
      <c r="K43" s="7" t="str">
        <f t="shared" si="23"/>
        <v>505,5</v>
      </c>
      <c r="L43" s="7" t="str">
        <f t="shared" si="15"/>
        <v>505,5,4</v>
      </c>
      <c r="M43" s="7" t="str">
        <f t="shared" si="16"/>
        <v>501,10,4;505,5,4</v>
      </c>
      <c r="N43" s="7" t="str">
        <f t="shared" si="23"/>
        <v>501,10</v>
      </c>
      <c r="O43" s="7" t="str">
        <f t="shared" si="17"/>
        <v>501,10,4</v>
      </c>
      <c r="P43" s="7" t="str">
        <f t="shared" si="18"/>
        <v>505,5</v>
      </c>
      <c r="Q43" s="7" t="str">
        <f t="shared" si="19"/>
        <v>505,5,4</v>
      </c>
      <c r="R43" s="7" t="str">
        <f t="shared" si="20"/>
        <v>501,10,4;505,5,4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4">IF(I6="","",_xlfn.TEXTJOIN(",",TRUE,I6:J6))</f>
        <v>502,10</v>
      </c>
      <c r="J44" s="7" t="str">
        <f t="shared" si="14"/>
        <v>502,10,5</v>
      </c>
      <c r="K44" s="7" t="str">
        <f t="shared" si="24"/>
        <v/>
      </c>
      <c r="L44" s="7" t="str">
        <f t="shared" si="15"/>
        <v/>
      </c>
      <c r="M44" s="7" t="str">
        <f t="shared" si="16"/>
        <v>502,10,5</v>
      </c>
      <c r="N44" s="7" t="str">
        <f t="shared" si="24"/>
        <v>502,10</v>
      </c>
      <c r="O44" s="7" t="str">
        <f t="shared" si="17"/>
        <v>502,10,5</v>
      </c>
      <c r="P44" s="7" t="str">
        <f t="shared" si="18"/>
        <v/>
      </c>
      <c r="Q44" s="7" t="str">
        <f t="shared" si="19"/>
        <v/>
      </c>
      <c r="R44" s="7" t="str">
        <f t="shared" si="20"/>
        <v>502,10,5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5">IF(I7="","",_xlfn.TEXTJOIN(",",TRUE,I7:J7))</f>
        <v>502,10</v>
      </c>
      <c r="J45" s="7" t="str">
        <f t="shared" si="14"/>
        <v>502,10,6</v>
      </c>
      <c r="K45" s="7" t="str">
        <f t="shared" si="25"/>
        <v/>
      </c>
      <c r="L45" s="7" t="str">
        <f t="shared" si="15"/>
        <v/>
      </c>
      <c r="M45" s="7" t="str">
        <f t="shared" si="16"/>
        <v>502,10,6</v>
      </c>
      <c r="N45" s="7" t="str">
        <f t="shared" si="25"/>
        <v>502,10</v>
      </c>
      <c r="O45" s="7" t="str">
        <f t="shared" si="17"/>
        <v>502,10,6</v>
      </c>
      <c r="P45" s="7" t="str">
        <f t="shared" si="18"/>
        <v/>
      </c>
      <c r="Q45" s="7" t="str">
        <f t="shared" si="19"/>
        <v/>
      </c>
      <c r="R45" s="7" t="str">
        <f t="shared" si="20"/>
        <v>502,10,6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6">IF(I8="","",_xlfn.TEXTJOIN(",",TRUE,I8:J8))</f>
        <v>502,10</v>
      </c>
      <c r="J46" s="7" t="str">
        <f t="shared" si="14"/>
        <v>502,10,7</v>
      </c>
      <c r="K46" s="7" t="str">
        <f t="shared" si="26"/>
        <v/>
      </c>
      <c r="L46" s="7" t="str">
        <f t="shared" si="15"/>
        <v/>
      </c>
      <c r="M46" s="7" t="str">
        <f t="shared" si="16"/>
        <v>502,10,7</v>
      </c>
      <c r="N46" s="7" t="str">
        <f t="shared" si="26"/>
        <v>502,10</v>
      </c>
      <c r="O46" s="7" t="str">
        <f t="shared" si="17"/>
        <v>502,10,7</v>
      </c>
      <c r="P46" s="7" t="str">
        <f t="shared" si="18"/>
        <v/>
      </c>
      <c r="Q46" s="7" t="str">
        <f t="shared" si="19"/>
        <v/>
      </c>
      <c r="R46" s="7" t="str">
        <f t="shared" si="20"/>
        <v>502,10,7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7">IF(I9="","",_xlfn.TEXTJOIN(",",TRUE,I9:J9))</f>
        <v>502,10</v>
      </c>
      <c r="J47" s="7" t="str">
        <f t="shared" si="14"/>
        <v>502,10,8</v>
      </c>
      <c r="K47" s="7" t="str">
        <f t="shared" si="27"/>
        <v>505,5</v>
      </c>
      <c r="L47" s="7" t="str">
        <f t="shared" si="15"/>
        <v>505,5,8</v>
      </c>
      <c r="M47" s="7" t="str">
        <f t="shared" si="16"/>
        <v>502,10,8;505,5,8</v>
      </c>
      <c r="N47" s="7" t="str">
        <f t="shared" si="27"/>
        <v>502,10</v>
      </c>
      <c r="O47" s="7" t="str">
        <f t="shared" si="17"/>
        <v>502,10,8</v>
      </c>
      <c r="P47" s="7" t="str">
        <f t="shared" si="18"/>
        <v>505,5</v>
      </c>
      <c r="Q47" s="7" t="str">
        <f t="shared" si="19"/>
        <v>505,5,8</v>
      </c>
      <c r="R47" s="7" t="str">
        <f t="shared" si="20"/>
        <v>502,10,8;505,5,8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8">IF(I10="","",_xlfn.TEXTJOIN(",",TRUE,I10:J10))</f>
        <v>502,15</v>
      </c>
      <c r="J48" s="7" t="str">
        <f t="shared" si="14"/>
        <v>502,15,9</v>
      </c>
      <c r="K48" s="7" t="str">
        <f t="shared" si="28"/>
        <v/>
      </c>
      <c r="L48" s="7" t="str">
        <f t="shared" si="15"/>
        <v/>
      </c>
      <c r="M48" s="7" t="str">
        <f t="shared" si="16"/>
        <v>502,15,9</v>
      </c>
      <c r="N48" s="7" t="str">
        <f t="shared" si="28"/>
        <v>502,15</v>
      </c>
      <c r="O48" s="7" t="str">
        <f t="shared" si="17"/>
        <v>502,15,9</v>
      </c>
      <c r="P48" s="7" t="str">
        <f t="shared" si="18"/>
        <v/>
      </c>
      <c r="Q48" s="7" t="str">
        <f t="shared" si="19"/>
        <v/>
      </c>
      <c r="R48" s="7" t="str">
        <f t="shared" si="20"/>
        <v>502,15,9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9">IF(I11="","",_xlfn.TEXTJOIN(",",TRUE,I11:J11))</f>
        <v>502,15</v>
      </c>
      <c r="J49" s="7" t="str">
        <f t="shared" si="14"/>
        <v>502,15,10</v>
      </c>
      <c r="K49" s="7" t="str">
        <f t="shared" si="29"/>
        <v/>
      </c>
      <c r="L49" s="7" t="str">
        <f t="shared" si="15"/>
        <v/>
      </c>
      <c r="M49" s="7" t="str">
        <f t="shared" si="16"/>
        <v>502,15,10</v>
      </c>
      <c r="N49" s="7" t="str">
        <f t="shared" si="29"/>
        <v>502,15</v>
      </c>
      <c r="O49" s="7" t="str">
        <f t="shared" si="17"/>
        <v>502,15,10</v>
      </c>
      <c r="P49" s="7" t="str">
        <f t="shared" si="18"/>
        <v/>
      </c>
      <c r="Q49" s="7" t="str">
        <f t="shared" si="19"/>
        <v/>
      </c>
      <c r="R49" s="7" t="str">
        <f t="shared" si="20"/>
        <v>502,15,10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0">IF(I12="","",_xlfn.TEXTJOIN(",",TRUE,I12:J12))</f>
        <v>503,15</v>
      </c>
      <c r="J50" s="7" t="str">
        <f t="shared" si="14"/>
        <v>503,15,11</v>
      </c>
      <c r="K50" s="7" t="str">
        <f t="shared" si="30"/>
        <v/>
      </c>
      <c r="L50" s="7" t="str">
        <f t="shared" si="15"/>
        <v/>
      </c>
      <c r="M50" s="7" t="str">
        <f t="shared" si="16"/>
        <v>503,15,11</v>
      </c>
      <c r="N50" s="7" t="str">
        <f t="shared" si="30"/>
        <v>503,15</v>
      </c>
      <c r="O50" s="7" t="str">
        <f t="shared" si="17"/>
        <v>503,15,11</v>
      </c>
      <c r="P50" s="7" t="str">
        <f t="shared" si="18"/>
        <v/>
      </c>
      <c r="Q50" s="7" t="str">
        <f t="shared" si="19"/>
        <v/>
      </c>
      <c r="R50" s="7" t="str">
        <f t="shared" si="20"/>
        <v>503,15,11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1">IF(I13="","",_xlfn.TEXTJOIN(",",TRUE,I13:J13))</f>
        <v>503,15</v>
      </c>
      <c r="J51" s="7" t="str">
        <f t="shared" si="14"/>
        <v>503,15,12</v>
      </c>
      <c r="K51" s="7" t="str">
        <f t="shared" si="31"/>
        <v>506,1</v>
      </c>
      <c r="L51" s="7" t="str">
        <f t="shared" si="15"/>
        <v>506,1,12</v>
      </c>
      <c r="M51" s="7" t="str">
        <f t="shared" si="16"/>
        <v>503,15,12;506,1,12</v>
      </c>
      <c r="N51" s="7" t="str">
        <f t="shared" si="31"/>
        <v>503,15</v>
      </c>
      <c r="O51" s="7" t="str">
        <f t="shared" si="17"/>
        <v>503,15,12</v>
      </c>
      <c r="P51" s="7" t="str">
        <f t="shared" si="18"/>
        <v>506,1</v>
      </c>
      <c r="Q51" s="7" t="str">
        <f t="shared" si="19"/>
        <v>506,1,12</v>
      </c>
      <c r="R51" s="7" t="str">
        <f t="shared" si="20"/>
        <v>503,15,12;506,1,12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2">IF(I14="","",_xlfn.TEXTJOIN(",",TRUE,I14:J14))</f>
        <v/>
      </c>
      <c r="J52" s="7" t="str">
        <f t="shared" si="14"/>
        <v/>
      </c>
      <c r="K52" s="7" t="str">
        <f t="shared" si="32"/>
        <v/>
      </c>
      <c r="L52" s="7" t="str">
        <f t="shared" si="15"/>
        <v/>
      </c>
      <c r="M52" s="7" t="str">
        <f t="shared" si="16"/>
        <v/>
      </c>
      <c r="N52" s="7" t="str">
        <f t="shared" si="32"/>
        <v/>
      </c>
      <c r="O52" s="7" t="str">
        <f t="shared" si="17"/>
        <v/>
      </c>
      <c r="P52" s="7" t="str">
        <f t="shared" si="18"/>
        <v/>
      </c>
      <c r="Q52" s="7" t="str">
        <f t="shared" si="19"/>
        <v/>
      </c>
      <c r="R52" s="7" t="str">
        <f t="shared" si="20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3">IF(I15="","",_xlfn.TEXTJOIN(",",TRUE,I15:J15))</f>
        <v/>
      </c>
      <c r="J53" s="7" t="str">
        <f t="shared" si="14"/>
        <v/>
      </c>
      <c r="K53" s="7" t="str">
        <f t="shared" si="33"/>
        <v/>
      </c>
      <c r="L53" s="7" t="str">
        <f t="shared" si="15"/>
        <v/>
      </c>
      <c r="M53" s="7" t="str">
        <f t="shared" si="16"/>
        <v/>
      </c>
      <c r="N53" s="7" t="str">
        <f t="shared" si="33"/>
        <v/>
      </c>
      <c r="O53" s="7" t="str">
        <f t="shared" si="17"/>
        <v/>
      </c>
      <c r="P53" s="7" t="str">
        <f t="shared" si="18"/>
        <v/>
      </c>
      <c r="Q53" s="7" t="str">
        <f t="shared" si="19"/>
        <v/>
      </c>
      <c r="R53" s="7" t="str">
        <f t="shared" si="20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4">IF(I16="","",_xlfn.TEXTJOIN(",",TRUE,I16:J16))</f>
        <v/>
      </c>
      <c r="J54" s="7" t="str">
        <f t="shared" si="14"/>
        <v/>
      </c>
      <c r="K54" s="7" t="str">
        <f t="shared" si="34"/>
        <v/>
      </c>
      <c r="L54" s="7" t="str">
        <f t="shared" si="15"/>
        <v/>
      </c>
      <c r="M54" s="7" t="str">
        <f t="shared" si="16"/>
        <v/>
      </c>
      <c r="N54" s="7" t="str">
        <f t="shared" si="34"/>
        <v/>
      </c>
      <c r="O54" s="7" t="str">
        <f t="shared" si="17"/>
        <v/>
      </c>
      <c r="P54" s="7" t="str">
        <f t="shared" si="18"/>
        <v/>
      </c>
      <c r="Q54" s="7" t="str">
        <f t="shared" si="19"/>
        <v/>
      </c>
      <c r="R54" s="7" t="str">
        <f t="shared" si="20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5">IF(I17="","",_xlfn.TEXTJOIN(",",TRUE,I17:J17))</f>
        <v/>
      </c>
      <c r="J55" s="7" t="str">
        <f t="shared" si="14"/>
        <v/>
      </c>
      <c r="K55" s="7" t="str">
        <f t="shared" si="35"/>
        <v/>
      </c>
      <c r="L55" s="7" t="str">
        <f t="shared" si="15"/>
        <v/>
      </c>
      <c r="M55" s="7" t="str">
        <f t="shared" si="16"/>
        <v/>
      </c>
      <c r="N55" s="7" t="str">
        <f t="shared" si="35"/>
        <v/>
      </c>
      <c r="O55" s="7" t="str">
        <f t="shared" si="17"/>
        <v/>
      </c>
      <c r="P55" s="7" t="str">
        <f t="shared" si="18"/>
        <v/>
      </c>
      <c r="Q55" s="7" t="str">
        <f t="shared" si="19"/>
        <v/>
      </c>
      <c r="R55" s="7" t="str">
        <f t="shared" si="20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6">IF(I18="","",_xlfn.TEXTJOIN(",",TRUE,I18:J18))</f>
        <v/>
      </c>
      <c r="J56" s="7" t="str">
        <f t="shared" si="14"/>
        <v/>
      </c>
      <c r="K56" s="7" t="str">
        <f t="shared" si="36"/>
        <v/>
      </c>
      <c r="L56" s="7" t="str">
        <f t="shared" si="15"/>
        <v/>
      </c>
      <c r="M56" s="7" t="str">
        <f t="shared" si="16"/>
        <v/>
      </c>
      <c r="N56" s="7" t="str">
        <f t="shared" si="36"/>
        <v/>
      </c>
      <c r="O56" s="7" t="str">
        <f t="shared" si="17"/>
        <v/>
      </c>
      <c r="P56" s="7" t="str">
        <f t="shared" si="18"/>
        <v/>
      </c>
      <c r="Q56" s="7" t="str">
        <f t="shared" si="19"/>
        <v/>
      </c>
      <c r="R56" s="7" t="str">
        <f t="shared" si="20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7">IF(I19="","",_xlfn.TEXTJOIN(",",TRUE,I19:J19))</f>
        <v/>
      </c>
      <c r="J57" s="7" t="str">
        <f t="shared" si="14"/>
        <v/>
      </c>
      <c r="K57" s="7" t="str">
        <f t="shared" si="37"/>
        <v/>
      </c>
      <c r="L57" s="7" t="str">
        <f t="shared" si="15"/>
        <v/>
      </c>
      <c r="M57" s="7" t="str">
        <f t="shared" si="16"/>
        <v/>
      </c>
      <c r="N57" s="7" t="str">
        <f t="shared" si="37"/>
        <v/>
      </c>
      <c r="O57" s="7" t="str">
        <f t="shared" si="17"/>
        <v/>
      </c>
      <c r="P57" s="7" t="str">
        <f t="shared" si="18"/>
        <v/>
      </c>
      <c r="Q57" s="7" t="str">
        <f t="shared" si="19"/>
        <v/>
      </c>
      <c r="R57" s="7" t="str">
        <f t="shared" si="20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8">IF(I20="","",_xlfn.TEXTJOIN(",",TRUE,I20:J20))</f>
        <v/>
      </c>
      <c r="J58" s="7" t="str">
        <f t="shared" si="14"/>
        <v/>
      </c>
      <c r="K58" s="7" t="str">
        <f t="shared" si="38"/>
        <v/>
      </c>
      <c r="L58" s="7" t="str">
        <f t="shared" si="15"/>
        <v/>
      </c>
      <c r="M58" s="7" t="str">
        <f t="shared" si="16"/>
        <v/>
      </c>
      <c r="N58" s="7" t="str">
        <f t="shared" si="38"/>
        <v/>
      </c>
      <c r="O58" s="7" t="str">
        <f t="shared" si="17"/>
        <v/>
      </c>
      <c r="P58" s="7" t="str">
        <f t="shared" si="18"/>
        <v/>
      </c>
      <c r="Q58" s="7" t="str">
        <f t="shared" si="19"/>
        <v/>
      </c>
      <c r="R58" s="7" t="str">
        <f t="shared" si="20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9">IF(I21="","",_xlfn.TEXTJOIN(",",TRUE,I21:J21))</f>
        <v/>
      </c>
      <c r="J59" s="7" t="str">
        <f t="shared" si="14"/>
        <v/>
      </c>
      <c r="K59" s="7" t="str">
        <f t="shared" si="39"/>
        <v/>
      </c>
      <c r="L59" s="7" t="str">
        <f t="shared" si="15"/>
        <v/>
      </c>
      <c r="M59" s="7" t="str">
        <f t="shared" si="16"/>
        <v/>
      </c>
      <c r="N59" s="7" t="str">
        <f t="shared" si="39"/>
        <v/>
      </c>
      <c r="O59" s="7" t="str">
        <f t="shared" si="17"/>
        <v/>
      </c>
      <c r="P59" s="7" t="str">
        <f t="shared" si="18"/>
        <v/>
      </c>
      <c r="Q59" s="7" t="str">
        <f t="shared" si="19"/>
        <v/>
      </c>
      <c r="R59" s="7" t="str">
        <f t="shared" si="20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0">IF(I22="","",_xlfn.TEXTJOIN(",",TRUE,I22:J22))</f>
        <v/>
      </c>
      <c r="J60" s="7" t="str">
        <f t="shared" si="14"/>
        <v/>
      </c>
      <c r="K60" s="7" t="str">
        <f t="shared" si="40"/>
        <v/>
      </c>
      <c r="L60" s="7" t="str">
        <f t="shared" si="15"/>
        <v/>
      </c>
      <c r="M60" s="7" t="str">
        <f t="shared" si="16"/>
        <v/>
      </c>
      <c r="N60" s="7" t="str">
        <f t="shared" si="40"/>
        <v/>
      </c>
      <c r="O60" s="7" t="str">
        <f t="shared" si="17"/>
        <v/>
      </c>
      <c r="P60" s="7" t="str">
        <f t="shared" si="18"/>
        <v/>
      </c>
      <c r="Q60" s="7" t="str">
        <f t="shared" si="19"/>
        <v/>
      </c>
      <c r="R60" s="7" t="str">
        <f t="shared" si="20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1">IF(I23="","",_xlfn.TEXTJOIN(",",TRUE,I23:J23))</f>
        <v/>
      </c>
      <c r="J61" s="7" t="str">
        <f t="shared" si="14"/>
        <v/>
      </c>
      <c r="K61" s="7" t="str">
        <f t="shared" si="41"/>
        <v/>
      </c>
      <c r="L61" s="7" t="str">
        <f t="shared" si="15"/>
        <v/>
      </c>
      <c r="M61" s="7" t="str">
        <f t="shared" si="16"/>
        <v/>
      </c>
      <c r="N61" s="7" t="str">
        <f t="shared" si="41"/>
        <v/>
      </c>
      <c r="O61" s="7" t="str">
        <f t="shared" si="17"/>
        <v/>
      </c>
      <c r="P61" s="7" t="str">
        <f t="shared" si="18"/>
        <v/>
      </c>
      <c r="Q61" s="7" t="str">
        <f t="shared" si="19"/>
        <v/>
      </c>
      <c r="R61" s="7" t="str">
        <f t="shared" si="20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2">IF(I24="","",_xlfn.TEXTJOIN(",",TRUE,I24:J24))</f>
        <v/>
      </c>
      <c r="J62" s="7" t="str">
        <f t="shared" si="14"/>
        <v/>
      </c>
      <c r="K62" s="7" t="str">
        <f t="shared" si="42"/>
        <v/>
      </c>
      <c r="L62" s="7" t="str">
        <f t="shared" si="15"/>
        <v/>
      </c>
      <c r="M62" s="7" t="str">
        <f t="shared" si="16"/>
        <v/>
      </c>
      <c r="N62" s="7" t="str">
        <f t="shared" si="42"/>
        <v/>
      </c>
      <c r="O62" s="7" t="str">
        <f t="shared" si="17"/>
        <v/>
      </c>
      <c r="P62" s="7" t="str">
        <f t="shared" si="18"/>
        <v/>
      </c>
      <c r="Q62" s="7" t="str">
        <f t="shared" si="19"/>
        <v/>
      </c>
      <c r="R62" s="7" t="str">
        <f t="shared" si="20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3">IF(I25="","",_xlfn.TEXTJOIN(",",TRUE,I25:J25))</f>
        <v/>
      </c>
      <c r="J63" s="7" t="str">
        <f t="shared" si="14"/>
        <v/>
      </c>
      <c r="K63" s="7" t="str">
        <f t="shared" si="43"/>
        <v/>
      </c>
      <c r="L63" s="7" t="str">
        <f t="shared" si="15"/>
        <v/>
      </c>
      <c r="M63" s="7" t="str">
        <f t="shared" si="16"/>
        <v/>
      </c>
      <c r="N63" s="7" t="str">
        <f t="shared" si="43"/>
        <v/>
      </c>
      <c r="O63" s="7" t="str">
        <f t="shared" si="17"/>
        <v/>
      </c>
      <c r="P63" s="7" t="str">
        <f t="shared" si="18"/>
        <v/>
      </c>
      <c r="Q63" s="7" t="str">
        <f t="shared" si="19"/>
        <v/>
      </c>
      <c r="R63" s="7" t="str">
        <f t="shared" si="20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4">IF(I26="","",_xlfn.TEXTJOIN(",",TRUE,I26:J26))</f>
        <v/>
      </c>
      <c r="J64" s="7" t="str">
        <f t="shared" si="14"/>
        <v/>
      </c>
      <c r="K64" s="7" t="str">
        <f t="shared" si="44"/>
        <v/>
      </c>
      <c r="L64" s="7" t="str">
        <f t="shared" si="15"/>
        <v/>
      </c>
      <c r="M64" s="7" t="str">
        <f t="shared" si="16"/>
        <v/>
      </c>
      <c r="N64" s="7" t="str">
        <f t="shared" si="44"/>
        <v/>
      </c>
      <c r="O64" s="7" t="str">
        <f t="shared" si="17"/>
        <v/>
      </c>
      <c r="P64" s="7" t="str">
        <f t="shared" si="18"/>
        <v/>
      </c>
      <c r="Q64" s="7" t="str">
        <f t="shared" si="19"/>
        <v/>
      </c>
      <c r="R64" s="7" t="str">
        <f t="shared" si="20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5">IF(I27="","",_xlfn.TEXTJOIN(",",TRUE,I27:J27))</f>
        <v/>
      </c>
      <c r="J65" s="7" t="str">
        <f t="shared" si="14"/>
        <v/>
      </c>
      <c r="K65" s="7" t="str">
        <f t="shared" si="45"/>
        <v/>
      </c>
      <c r="L65" s="7" t="str">
        <f t="shared" si="15"/>
        <v/>
      </c>
      <c r="M65" s="7" t="str">
        <f t="shared" si="16"/>
        <v/>
      </c>
      <c r="N65" s="7" t="str">
        <f t="shared" si="45"/>
        <v/>
      </c>
      <c r="O65" s="7" t="str">
        <f t="shared" si="17"/>
        <v/>
      </c>
      <c r="P65" s="7" t="str">
        <f t="shared" si="18"/>
        <v/>
      </c>
      <c r="Q65" s="7" t="str">
        <f t="shared" si="19"/>
        <v/>
      </c>
      <c r="R65" s="7" t="str">
        <f t="shared" si="20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6">IF(I28="","",_xlfn.TEXTJOIN(",",TRUE,I28:J28))</f>
        <v/>
      </c>
      <c r="J66" s="7" t="str">
        <f t="shared" si="14"/>
        <v/>
      </c>
      <c r="K66" s="7" t="str">
        <f t="shared" si="46"/>
        <v/>
      </c>
      <c r="L66" s="7" t="str">
        <f t="shared" si="15"/>
        <v/>
      </c>
      <c r="M66" s="7" t="str">
        <f t="shared" si="16"/>
        <v/>
      </c>
      <c r="N66" s="7" t="str">
        <f t="shared" si="46"/>
        <v/>
      </c>
      <c r="O66" s="7" t="str">
        <f t="shared" si="17"/>
        <v/>
      </c>
      <c r="P66" s="7" t="str">
        <f t="shared" si="18"/>
        <v/>
      </c>
      <c r="Q66" s="7" t="str">
        <f t="shared" si="19"/>
        <v/>
      </c>
      <c r="R66" s="7" t="str">
        <f t="shared" si="20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7">IF(I29="","",_xlfn.TEXTJOIN(",",TRUE,I29:J29))</f>
        <v/>
      </c>
      <c r="J67" s="7" t="str">
        <f t="shared" si="14"/>
        <v/>
      </c>
      <c r="K67" s="7" t="str">
        <f t="shared" si="47"/>
        <v/>
      </c>
      <c r="L67" s="7" t="str">
        <f t="shared" si="15"/>
        <v/>
      </c>
      <c r="M67" s="7" t="str">
        <f t="shared" si="16"/>
        <v/>
      </c>
      <c r="N67" s="7" t="str">
        <f t="shared" si="47"/>
        <v/>
      </c>
      <c r="O67" s="7" t="str">
        <f t="shared" si="17"/>
        <v/>
      </c>
      <c r="P67" s="7" t="str">
        <f t="shared" si="18"/>
        <v/>
      </c>
      <c r="Q67" s="7" t="str">
        <f t="shared" si="19"/>
        <v/>
      </c>
      <c r="R67" s="7" t="str">
        <f t="shared" si="20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8">IF(I30="","",_xlfn.TEXTJOIN(",",TRUE,I30:J30))</f>
        <v/>
      </c>
      <c r="J68" s="7" t="str">
        <f t="shared" si="14"/>
        <v/>
      </c>
      <c r="K68" s="7" t="str">
        <f t="shared" si="48"/>
        <v/>
      </c>
      <c r="L68" s="7" t="str">
        <f t="shared" si="15"/>
        <v/>
      </c>
      <c r="M68" s="7" t="str">
        <f t="shared" si="16"/>
        <v/>
      </c>
      <c r="N68" s="7" t="str">
        <f t="shared" si="48"/>
        <v/>
      </c>
      <c r="O68" s="7" t="str">
        <f t="shared" si="17"/>
        <v/>
      </c>
      <c r="P68" s="7" t="str">
        <f t="shared" si="18"/>
        <v/>
      </c>
      <c r="Q68" s="7" t="str">
        <f t="shared" si="19"/>
        <v/>
      </c>
      <c r="R68" s="7" t="str">
        <f t="shared" si="20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9">IF(I31="","",_xlfn.TEXTJOIN(",",TRUE,I31:J31))</f>
        <v/>
      </c>
      <c r="J69" s="7" t="str">
        <f t="shared" si="14"/>
        <v/>
      </c>
      <c r="K69" s="7" t="str">
        <f t="shared" si="49"/>
        <v/>
      </c>
      <c r="L69" s="7" t="str">
        <f t="shared" si="15"/>
        <v/>
      </c>
      <c r="M69" s="7" t="str">
        <f t="shared" si="16"/>
        <v/>
      </c>
      <c r="N69" s="7" t="str">
        <f t="shared" si="49"/>
        <v/>
      </c>
      <c r="O69" s="7" t="str">
        <f t="shared" si="17"/>
        <v/>
      </c>
      <c r="P69" s="7" t="str">
        <f t="shared" si="18"/>
        <v/>
      </c>
      <c r="Q69" s="7" t="str">
        <f t="shared" si="19"/>
        <v/>
      </c>
      <c r="R69" s="7" t="str">
        <f t="shared" si="20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501,10,1|501,10,2|501,10,3|501,10,4;505,5,4|502,10,5|502,10,6|502,10,7|502,10,8;505,5,8|502,15,9|502,15,10|503,15,11|503,15,12;506,1,12</v>
      </c>
      <c r="N71" s="7"/>
      <c r="O71" s="7"/>
      <c r="P71" s="7"/>
      <c r="Q71" s="7"/>
      <c r="R71" s="15" t="str">
        <f>_xlfn.TEXTJOIN("|",TRUE,R40:R69)</f>
        <v>501,10,1|501,10,2|501,10,3|501,10,4;505,5,4|502,10,5|502,10,6|502,10,7|502,10,8;505,5,8|502,15,9|502,15,10|503,15,11|503,15,12;506,1,12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50">SUM(P79:T79)+O79*0.6</f>
        <v>1.2</v>
      </c>
      <c r="V79" s="4">
        <v>0.5</v>
      </c>
      <c r="W79" s="7">
        <f t="shared" ref="W79:W108" si="51">F2</f>
        <v>2</v>
      </c>
      <c r="X79" s="4">
        <f t="shared" ref="X79:X108" si="52">(O79*W79)^V79</f>
        <v>2</v>
      </c>
      <c r="Y79" s="4">
        <f t="shared" ref="Y79:Y108" si="53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4">$R$77*U79*(AB79+AC79)</f>
        <v>1050</v>
      </c>
      <c r="AE79" s="4">
        <f t="shared" ref="AE79:AE108" si="55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6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50"/>
        <v>2.4</v>
      </c>
      <c r="V80" s="4">
        <v>0.5</v>
      </c>
      <c r="W80" s="7">
        <f t="shared" si="51"/>
        <v>3</v>
      </c>
      <c r="X80" s="4">
        <f t="shared" si="52"/>
        <v>2.12132034355964</v>
      </c>
      <c r="Y80" s="4">
        <f t="shared" si="53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4"/>
        <v>2100</v>
      </c>
      <c r="AE80" s="4">
        <f t="shared" si="55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6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50"/>
        <v>4.4</v>
      </c>
      <c r="V81" s="4">
        <f t="shared" ref="V81:V87" si="57">V79+0.1</f>
        <v>0.6</v>
      </c>
      <c r="W81" s="7">
        <f t="shared" si="51"/>
        <v>4</v>
      </c>
      <c r="X81" s="4">
        <f t="shared" si="52"/>
        <v>5.27803164309158</v>
      </c>
      <c r="Y81" s="4">
        <f t="shared" si="53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4"/>
        <v>3850</v>
      </c>
      <c r="AE81" s="4">
        <f t="shared" si="55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6"/>
        <v>2</v>
      </c>
      <c r="Q82" s="7">
        <f t="shared" ref="Q82:Q108" si="58">W82/N82*1</f>
        <v>2</v>
      </c>
      <c r="R82" s="7">
        <v>0</v>
      </c>
      <c r="S82" s="7">
        <v>0</v>
      </c>
      <c r="T82" s="7">
        <v>0</v>
      </c>
      <c r="U82" s="7">
        <f t="shared" si="50"/>
        <v>6.4</v>
      </c>
      <c r="V82" s="4">
        <f t="shared" si="57"/>
        <v>0.6</v>
      </c>
      <c r="W82" s="7">
        <f t="shared" si="51"/>
        <v>6</v>
      </c>
      <c r="X82" s="4">
        <f t="shared" si="52"/>
        <v>6.7317308726772</v>
      </c>
      <c r="Y82" s="4">
        <f t="shared" si="53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4"/>
        <v>5600</v>
      </c>
      <c r="AE82" s="4">
        <f t="shared" si="55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9">W83/N83*(1+1)*(1+0.5)</f>
        <v>7</v>
      </c>
      <c r="P83" s="7">
        <f t="shared" si="56"/>
        <v>2.33333333333333</v>
      </c>
      <c r="Q83" s="7">
        <f t="shared" si="58"/>
        <v>2.33333333333333</v>
      </c>
      <c r="R83" s="7">
        <v>0</v>
      </c>
      <c r="S83" s="7">
        <v>0</v>
      </c>
      <c r="T83" s="7">
        <v>0</v>
      </c>
      <c r="U83" s="7">
        <f t="shared" si="50"/>
        <v>8.86666666666667</v>
      </c>
      <c r="V83" s="4">
        <f t="shared" si="57"/>
        <v>0.7</v>
      </c>
      <c r="W83" s="7">
        <f t="shared" si="51"/>
        <v>7</v>
      </c>
      <c r="X83" s="4">
        <f t="shared" si="52"/>
        <v>15.2453449713795</v>
      </c>
      <c r="Y83" s="4">
        <f t="shared" si="53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4"/>
        <v>7758.33333333333</v>
      </c>
      <c r="AE83" s="4">
        <f t="shared" si="55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9"/>
        <v>6</v>
      </c>
      <c r="P84" s="7">
        <f t="shared" si="56"/>
        <v>2</v>
      </c>
      <c r="Q84" s="7">
        <f t="shared" si="58"/>
        <v>2</v>
      </c>
      <c r="R84" s="7">
        <f t="shared" ref="R84:R108" si="60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7"/>
        <v>0.7</v>
      </c>
      <c r="W84" s="7">
        <f t="shared" si="51"/>
        <v>8</v>
      </c>
      <c r="X84" s="4">
        <f t="shared" si="52"/>
        <v>15.026881656709</v>
      </c>
      <c r="Y84" s="4">
        <f t="shared" si="53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4"/>
        <v>8925</v>
      </c>
      <c r="AE84" s="4">
        <f t="shared" si="55"/>
        <v>312</v>
      </c>
      <c r="AF84" s="7">
        <f t="shared" ref="AF84:AF108" si="61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9"/>
        <v>7.5</v>
      </c>
      <c r="P85" s="7">
        <f t="shared" ref="P85:P88" si="62">W85/N85*(1+0.5)</f>
        <v>3.75</v>
      </c>
      <c r="Q85" s="7">
        <f t="shared" si="58"/>
        <v>2.5</v>
      </c>
      <c r="R85" s="7">
        <f t="shared" si="60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7"/>
        <v>0.8</v>
      </c>
      <c r="W85" s="7">
        <f t="shared" si="51"/>
        <v>10</v>
      </c>
      <c r="X85" s="4">
        <f t="shared" si="52"/>
        <v>31.6263454757063</v>
      </c>
      <c r="Y85" s="4">
        <f t="shared" si="53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4"/>
        <v>12906.25</v>
      </c>
      <c r="AE85" s="4">
        <f t="shared" si="55"/>
        <v>516</v>
      </c>
      <c r="AF85" s="7">
        <f t="shared" si="61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9"/>
        <v>6</v>
      </c>
      <c r="P86" s="7">
        <f t="shared" si="62"/>
        <v>3</v>
      </c>
      <c r="Q86" s="7">
        <f t="shared" si="58"/>
        <v>2</v>
      </c>
      <c r="R86" s="7">
        <f t="shared" si="60"/>
        <v>2</v>
      </c>
      <c r="S86" s="7">
        <f t="shared" ref="S86:S108" si="63">W86/N86*1</f>
        <v>2</v>
      </c>
      <c r="T86" s="7">
        <v>0</v>
      </c>
      <c r="U86" s="7">
        <f>SUM(P86:T86)+O86*0.9</f>
        <v>14.4</v>
      </c>
      <c r="V86" s="4">
        <f t="shared" si="57"/>
        <v>0.8</v>
      </c>
      <c r="W86" s="7">
        <f t="shared" si="51"/>
        <v>10</v>
      </c>
      <c r="X86" s="4">
        <f t="shared" si="52"/>
        <v>26.4558061866516</v>
      </c>
      <c r="Y86" s="4">
        <f t="shared" si="53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4"/>
        <v>12600</v>
      </c>
      <c r="AE86" s="4">
        <f t="shared" si="55"/>
        <v>504</v>
      </c>
      <c r="AF86" s="7">
        <f t="shared" si="61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4">W87/N87*(1+1)*(1+1)</f>
        <v>9.6</v>
      </c>
      <c r="P87" s="7">
        <f t="shared" si="62"/>
        <v>3.6</v>
      </c>
      <c r="Q87" s="7">
        <f t="shared" si="58"/>
        <v>2.4</v>
      </c>
      <c r="R87" s="7">
        <f t="shared" si="60"/>
        <v>2.4</v>
      </c>
      <c r="S87" s="7">
        <f t="shared" si="63"/>
        <v>2.4</v>
      </c>
      <c r="T87" s="7">
        <v>0</v>
      </c>
      <c r="U87" s="7">
        <f t="shared" ref="U87:U108" si="65">SUM(P87:T87)+O87*1</f>
        <v>20.4</v>
      </c>
      <c r="V87" s="4">
        <f t="shared" si="57"/>
        <v>0.9</v>
      </c>
      <c r="W87" s="7">
        <f t="shared" si="51"/>
        <v>12</v>
      </c>
      <c r="X87" s="4">
        <f t="shared" si="52"/>
        <v>71.6650207871839</v>
      </c>
      <c r="Y87" s="4">
        <f t="shared" si="53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4"/>
        <v>17850</v>
      </c>
      <c r="AE87" s="4">
        <f t="shared" si="55"/>
        <v>803</v>
      </c>
      <c r="AF87" s="7">
        <f t="shared" si="61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4"/>
        <v>9.33333333333333</v>
      </c>
      <c r="P88" s="7">
        <f t="shared" si="62"/>
        <v>3.5</v>
      </c>
      <c r="Q88" s="7">
        <f t="shared" si="58"/>
        <v>2.33333333333333</v>
      </c>
      <c r="R88" s="7">
        <f t="shared" si="60"/>
        <v>2.33333333333333</v>
      </c>
      <c r="S88" s="7">
        <f t="shared" si="63"/>
        <v>2.33333333333333</v>
      </c>
      <c r="T88" s="7">
        <f t="shared" ref="T88:T108" si="66">W88/N88*1</f>
        <v>2.33333333333333</v>
      </c>
      <c r="U88" s="7">
        <f t="shared" si="65"/>
        <v>22.1666666666667</v>
      </c>
      <c r="V88" s="4">
        <v>1</v>
      </c>
      <c r="W88" s="7">
        <f t="shared" si="51"/>
        <v>14</v>
      </c>
      <c r="X88" s="4">
        <f t="shared" si="52"/>
        <v>130.666666666667</v>
      </c>
      <c r="Y88" s="4">
        <f t="shared" si="53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4"/>
        <v>19395.8333333333</v>
      </c>
      <c r="AE88" s="4">
        <f t="shared" si="55"/>
        <v>485</v>
      </c>
      <c r="AF88" s="7">
        <f t="shared" si="61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4"/>
        <v>9.33333333333333</v>
      </c>
      <c r="P89" s="7">
        <f t="shared" ref="P89:P92" si="67">W89/N89*(1+0.5)*(1+1)</f>
        <v>7</v>
      </c>
      <c r="Q89" s="7">
        <f t="shared" si="58"/>
        <v>2.33333333333333</v>
      </c>
      <c r="R89" s="7">
        <f t="shared" si="60"/>
        <v>2.33333333333333</v>
      </c>
      <c r="S89" s="7">
        <f t="shared" si="63"/>
        <v>2.33333333333333</v>
      </c>
      <c r="T89" s="7">
        <f t="shared" si="66"/>
        <v>2.33333333333333</v>
      </c>
      <c r="U89" s="7">
        <f t="shared" si="65"/>
        <v>25.6666666666667</v>
      </c>
      <c r="V89" s="4">
        <v>1</v>
      </c>
      <c r="W89" s="7">
        <f t="shared" si="51"/>
        <v>14</v>
      </c>
      <c r="X89" s="4">
        <f t="shared" si="52"/>
        <v>130.666666666667</v>
      </c>
      <c r="Y89" s="4">
        <f t="shared" si="53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4"/>
        <v>22458.3333333333</v>
      </c>
      <c r="AE89" s="4">
        <f t="shared" si="55"/>
        <v>1123</v>
      </c>
      <c r="AF89" s="7">
        <f t="shared" si="61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4"/>
        <v>10.6666666666667</v>
      </c>
      <c r="P90" s="7">
        <f t="shared" si="67"/>
        <v>8</v>
      </c>
      <c r="Q90" s="7">
        <f t="shared" si="58"/>
        <v>2.66666666666667</v>
      </c>
      <c r="R90" s="7">
        <f t="shared" si="60"/>
        <v>2.66666666666667</v>
      </c>
      <c r="S90" s="7">
        <f t="shared" si="63"/>
        <v>2.66666666666667</v>
      </c>
      <c r="T90" s="7">
        <f t="shared" si="66"/>
        <v>2.66666666666667</v>
      </c>
      <c r="U90" s="7">
        <f t="shared" si="65"/>
        <v>29.3333333333333</v>
      </c>
      <c r="V90" s="4">
        <v>1</v>
      </c>
      <c r="W90" s="7">
        <f t="shared" si="51"/>
        <v>16</v>
      </c>
      <c r="X90" s="4">
        <f t="shared" si="52"/>
        <v>170.666666666667</v>
      </c>
      <c r="Y90" s="4">
        <f t="shared" si="53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4"/>
        <v>25666.6666666667</v>
      </c>
      <c r="AE90" s="26">
        <f t="shared" si="55"/>
        <v>1283</v>
      </c>
      <c r="AF90" s="7">
        <f t="shared" si="61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8">W91/N91*(1+1.5)*(1+1)</f>
        <v>0</v>
      </c>
      <c r="P91" s="7">
        <f t="shared" si="67"/>
        <v>0</v>
      </c>
      <c r="Q91" s="7">
        <f t="shared" si="58"/>
        <v>0</v>
      </c>
      <c r="R91" s="7">
        <f t="shared" si="60"/>
        <v>0</v>
      </c>
      <c r="S91" s="7">
        <f t="shared" si="63"/>
        <v>0</v>
      </c>
      <c r="T91" s="7">
        <f t="shared" si="66"/>
        <v>0</v>
      </c>
      <c r="U91" s="7">
        <f t="shared" si="65"/>
        <v>0</v>
      </c>
      <c r="V91" s="4">
        <v>1</v>
      </c>
      <c r="W91" s="7">
        <f t="shared" si="51"/>
        <v>0</v>
      </c>
      <c r="X91" s="4">
        <f t="shared" si="52"/>
        <v>0</v>
      </c>
      <c r="Y91" s="4">
        <f t="shared" si="53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4"/>
        <v>0</v>
      </c>
      <c r="AE91" s="4">
        <f t="shared" si="55"/>
        <v>0</v>
      </c>
      <c r="AF91" s="7">
        <f t="shared" si="61"/>
        <v>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8"/>
        <v>0</v>
      </c>
      <c r="P92" s="7">
        <f t="shared" si="67"/>
        <v>0</v>
      </c>
      <c r="Q92" s="7">
        <f t="shared" si="58"/>
        <v>0</v>
      </c>
      <c r="R92" s="7">
        <f t="shared" si="60"/>
        <v>0</v>
      </c>
      <c r="S92" s="7">
        <f t="shared" si="63"/>
        <v>0</v>
      </c>
      <c r="T92" s="7">
        <f t="shared" si="66"/>
        <v>0</v>
      </c>
      <c r="U92" s="7">
        <f t="shared" si="65"/>
        <v>0</v>
      </c>
      <c r="V92" s="4">
        <v>1</v>
      </c>
      <c r="W92" s="7">
        <f t="shared" si="51"/>
        <v>0</v>
      </c>
      <c r="X92" s="4">
        <f t="shared" si="52"/>
        <v>0</v>
      </c>
      <c r="Y92" s="4">
        <f t="shared" si="53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4"/>
        <v>0</v>
      </c>
      <c r="AE92" s="4">
        <f t="shared" si="55"/>
        <v>0</v>
      </c>
      <c r="AF92" s="7">
        <f t="shared" si="61"/>
        <v>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8"/>
        <v>0</v>
      </c>
      <c r="P93" s="7">
        <f t="shared" ref="P93:P96" si="69">W93/N93*(1+2)*(1+1)</f>
        <v>0</v>
      </c>
      <c r="Q93" s="7">
        <f t="shared" si="58"/>
        <v>0</v>
      </c>
      <c r="R93" s="7">
        <f t="shared" si="60"/>
        <v>0</v>
      </c>
      <c r="S93" s="7">
        <f t="shared" si="63"/>
        <v>0</v>
      </c>
      <c r="T93" s="7">
        <f t="shared" si="66"/>
        <v>0</v>
      </c>
      <c r="U93" s="7">
        <f t="shared" si="65"/>
        <v>0</v>
      </c>
      <c r="V93" s="4">
        <v>1.1</v>
      </c>
      <c r="W93" s="7">
        <f t="shared" si="51"/>
        <v>0</v>
      </c>
      <c r="X93" s="4">
        <f t="shared" si="52"/>
        <v>0</v>
      </c>
      <c r="Y93" s="4">
        <f t="shared" si="53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4"/>
        <v>0</v>
      </c>
      <c r="AE93" s="4">
        <f t="shared" si="55"/>
        <v>0</v>
      </c>
      <c r="AF93" s="7">
        <f t="shared" si="61"/>
        <v>0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8"/>
        <v>0</v>
      </c>
      <c r="P94" s="7">
        <f t="shared" si="69"/>
        <v>0</v>
      </c>
      <c r="Q94" s="7">
        <f t="shared" si="58"/>
        <v>0</v>
      </c>
      <c r="R94" s="7">
        <f t="shared" si="60"/>
        <v>0</v>
      </c>
      <c r="S94" s="7">
        <f t="shared" si="63"/>
        <v>0</v>
      </c>
      <c r="T94" s="7">
        <f t="shared" si="66"/>
        <v>0</v>
      </c>
      <c r="U94" s="7">
        <f t="shared" si="65"/>
        <v>0</v>
      </c>
      <c r="V94" s="4">
        <v>1.1</v>
      </c>
      <c r="W94" s="7">
        <f t="shared" si="51"/>
        <v>0</v>
      </c>
      <c r="X94" s="4">
        <f t="shared" si="52"/>
        <v>0</v>
      </c>
      <c r="Y94" s="4">
        <f t="shared" si="53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4"/>
        <v>0</v>
      </c>
      <c r="AE94" s="4">
        <f t="shared" si="55"/>
        <v>0</v>
      </c>
      <c r="AF94" s="7">
        <f t="shared" si="61"/>
        <v>0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70">W95/N95*(1+1.5)*(1+1.5)</f>
        <v>0</v>
      </c>
      <c r="P95" s="7">
        <f t="shared" si="69"/>
        <v>0</v>
      </c>
      <c r="Q95" s="7">
        <f t="shared" si="58"/>
        <v>0</v>
      </c>
      <c r="R95" s="7">
        <f t="shared" si="60"/>
        <v>0</v>
      </c>
      <c r="S95" s="7">
        <f t="shared" si="63"/>
        <v>0</v>
      </c>
      <c r="T95" s="7">
        <f t="shared" si="66"/>
        <v>0</v>
      </c>
      <c r="U95" s="7">
        <f t="shared" si="65"/>
        <v>0</v>
      </c>
      <c r="V95" s="4">
        <v>1.1</v>
      </c>
      <c r="W95" s="7">
        <f t="shared" si="51"/>
        <v>0</v>
      </c>
      <c r="X95" s="4">
        <f t="shared" si="52"/>
        <v>0</v>
      </c>
      <c r="Y95" s="4">
        <f t="shared" si="53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4"/>
        <v>0</v>
      </c>
      <c r="AE95" s="4">
        <f t="shared" si="55"/>
        <v>0</v>
      </c>
      <c r="AF95" s="7">
        <f t="shared" si="61"/>
        <v>0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0"/>
        <v>0</v>
      </c>
      <c r="P96" s="7">
        <f t="shared" si="69"/>
        <v>0</v>
      </c>
      <c r="Q96" s="7">
        <f t="shared" si="58"/>
        <v>0</v>
      </c>
      <c r="R96" s="7">
        <f t="shared" si="60"/>
        <v>0</v>
      </c>
      <c r="S96" s="7">
        <f t="shared" si="63"/>
        <v>0</v>
      </c>
      <c r="T96" s="7">
        <f t="shared" si="66"/>
        <v>0</v>
      </c>
      <c r="U96" s="7">
        <f t="shared" si="65"/>
        <v>0</v>
      </c>
      <c r="V96" s="4">
        <v>1.1</v>
      </c>
      <c r="W96" s="7">
        <f t="shared" si="51"/>
        <v>0</v>
      </c>
      <c r="X96" s="4">
        <f t="shared" si="52"/>
        <v>0</v>
      </c>
      <c r="Y96" s="4">
        <f t="shared" si="53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4"/>
        <v>0</v>
      </c>
      <c r="AE96" s="4">
        <f t="shared" si="55"/>
        <v>0</v>
      </c>
      <c r="AF96" s="7">
        <f t="shared" si="61"/>
        <v>0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70"/>
        <v>0</v>
      </c>
      <c r="P97" s="7">
        <f t="shared" ref="P97:P108" si="71">W97/N97*(1+2)*(1+2)</f>
        <v>0</v>
      </c>
      <c r="Q97" s="7">
        <f t="shared" si="58"/>
        <v>0</v>
      </c>
      <c r="R97" s="7">
        <f t="shared" si="60"/>
        <v>0</v>
      </c>
      <c r="S97" s="7">
        <f t="shared" si="63"/>
        <v>0</v>
      </c>
      <c r="T97" s="7">
        <f t="shared" si="66"/>
        <v>0</v>
      </c>
      <c r="U97" s="7">
        <f t="shared" si="65"/>
        <v>0</v>
      </c>
      <c r="V97" s="4">
        <v>1.1</v>
      </c>
      <c r="W97" s="7">
        <f t="shared" si="51"/>
        <v>0</v>
      </c>
      <c r="X97" s="4">
        <f t="shared" si="52"/>
        <v>0</v>
      </c>
      <c r="Y97" s="4">
        <f t="shared" si="53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4"/>
        <v>0</v>
      </c>
      <c r="AE97" s="4">
        <f t="shared" si="55"/>
        <v>0</v>
      </c>
      <c r="AF97" s="7">
        <f t="shared" si="61"/>
        <v>0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0"/>
        <v>0</v>
      </c>
      <c r="P98" s="7">
        <f t="shared" si="71"/>
        <v>0</v>
      </c>
      <c r="Q98" s="7">
        <f t="shared" si="58"/>
        <v>0</v>
      </c>
      <c r="R98" s="7">
        <f t="shared" si="60"/>
        <v>0</v>
      </c>
      <c r="S98" s="7">
        <f t="shared" si="63"/>
        <v>0</v>
      </c>
      <c r="T98" s="7">
        <f t="shared" si="66"/>
        <v>0</v>
      </c>
      <c r="U98" s="7">
        <f t="shared" si="65"/>
        <v>0</v>
      </c>
      <c r="V98" s="4">
        <v>1.2</v>
      </c>
      <c r="W98" s="7">
        <f t="shared" si="51"/>
        <v>0</v>
      </c>
      <c r="X98" s="4">
        <f t="shared" si="52"/>
        <v>0</v>
      </c>
      <c r="Y98" s="4">
        <f t="shared" si="53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4"/>
        <v>0</v>
      </c>
      <c r="AE98" s="4">
        <f t="shared" si="55"/>
        <v>0</v>
      </c>
      <c r="AF98" s="7">
        <f t="shared" si="61"/>
        <v>0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1"/>
        <v>0</v>
      </c>
      <c r="Q99" s="7">
        <f t="shared" si="58"/>
        <v>0</v>
      </c>
      <c r="R99" s="7">
        <f t="shared" si="60"/>
        <v>0</v>
      </c>
      <c r="S99" s="7">
        <f t="shared" si="63"/>
        <v>0</v>
      </c>
      <c r="T99" s="7">
        <f t="shared" si="66"/>
        <v>0</v>
      </c>
      <c r="U99" s="7">
        <f t="shared" si="65"/>
        <v>0</v>
      </c>
      <c r="V99" s="4">
        <v>1.2</v>
      </c>
      <c r="W99" s="7">
        <f t="shared" si="51"/>
        <v>0</v>
      </c>
      <c r="X99" s="4">
        <f t="shared" si="52"/>
        <v>0</v>
      </c>
      <c r="Y99" s="4">
        <f t="shared" si="53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4"/>
        <v>0</v>
      </c>
      <c r="AE99" s="4">
        <f t="shared" si="55"/>
        <v>0</v>
      </c>
      <c r="AF99" s="7">
        <f t="shared" si="61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1"/>
        <v>0</v>
      </c>
      <c r="Q100" s="7">
        <f t="shared" si="58"/>
        <v>0</v>
      </c>
      <c r="R100" s="7">
        <f t="shared" si="60"/>
        <v>0</v>
      </c>
      <c r="S100" s="7">
        <f t="shared" si="63"/>
        <v>0</v>
      </c>
      <c r="T100" s="7">
        <f t="shared" si="66"/>
        <v>0</v>
      </c>
      <c r="U100" s="7">
        <f t="shared" si="65"/>
        <v>0</v>
      </c>
      <c r="V100" s="4">
        <v>1.2</v>
      </c>
      <c r="W100" s="7">
        <f t="shared" si="51"/>
        <v>0</v>
      </c>
      <c r="X100" s="4">
        <f t="shared" si="52"/>
        <v>0</v>
      </c>
      <c r="Y100" s="4">
        <f t="shared" si="53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4"/>
        <v>0</v>
      </c>
      <c r="AE100" s="4">
        <f t="shared" si="55"/>
        <v>0</v>
      </c>
      <c r="AF100" s="7">
        <f t="shared" si="61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1"/>
        <v>0</v>
      </c>
      <c r="Q101" s="7">
        <f t="shared" si="58"/>
        <v>0</v>
      </c>
      <c r="R101" s="7">
        <f t="shared" si="60"/>
        <v>0</v>
      </c>
      <c r="S101" s="7">
        <f t="shared" si="63"/>
        <v>0</v>
      </c>
      <c r="T101" s="7">
        <f t="shared" si="66"/>
        <v>0</v>
      </c>
      <c r="U101" s="7">
        <f t="shared" si="65"/>
        <v>0</v>
      </c>
      <c r="V101" s="4">
        <v>1.2</v>
      </c>
      <c r="W101" s="7">
        <f t="shared" si="51"/>
        <v>0</v>
      </c>
      <c r="X101" s="4">
        <f t="shared" si="52"/>
        <v>0</v>
      </c>
      <c r="Y101" s="4">
        <f t="shared" si="53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4"/>
        <v>0</v>
      </c>
      <c r="AE101" s="4">
        <f t="shared" si="55"/>
        <v>0</v>
      </c>
      <c r="AF101" s="7">
        <f t="shared" si="61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1"/>
        <v>0</v>
      </c>
      <c r="Q102" s="7">
        <f t="shared" si="58"/>
        <v>0</v>
      </c>
      <c r="R102" s="7">
        <f t="shared" si="60"/>
        <v>0</v>
      </c>
      <c r="S102" s="7">
        <f t="shared" si="63"/>
        <v>0</v>
      </c>
      <c r="T102" s="7">
        <f t="shared" si="66"/>
        <v>0</v>
      </c>
      <c r="U102" s="7">
        <f t="shared" si="65"/>
        <v>0</v>
      </c>
      <c r="V102" s="4">
        <v>1.2</v>
      </c>
      <c r="W102" s="7">
        <f t="shared" si="51"/>
        <v>0</v>
      </c>
      <c r="X102" s="4">
        <f t="shared" si="52"/>
        <v>0</v>
      </c>
      <c r="Y102" s="4">
        <f t="shared" si="53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4"/>
        <v>0</v>
      </c>
      <c r="AE102" s="4">
        <f t="shared" si="55"/>
        <v>0</v>
      </c>
      <c r="AF102" s="7">
        <f t="shared" si="61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1"/>
        <v>0</v>
      </c>
      <c r="Q103" s="7">
        <f t="shared" si="58"/>
        <v>0</v>
      </c>
      <c r="R103" s="7">
        <f t="shared" si="60"/>
        <v>0</v>
      </c>
      <c r="S103" s="7">
        <f t="shared" si="63"/>
        <v>0</v>
      </c>
      <c r="T103" s="7">
        <f t="shared" si="66"/>
        <v>0</v>
      </c>
      <c r="U103" s="7">
        <f t="shared" si="65"/>
        <v>0</v>
      </c>
      <c r="V103" s="4">
        <v>1.3</v>
      </c>
      <c r="W103" s="7">
        <f t="shared" si="51"/>
        <v>0</v>
      </c>
      <c r="X103" s="4">
        <f t="shared" si="52"/>
        <v>0</v>
      </c>
      <c r="Y103" s="4">
        <f t="shared" si="53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4"/>
        <v>0</v>
      </c>
      <c r="AE103" s="4">
        <f t="shared" si="55"/>
        <v>0</v>
      </c>
      <c r="AF103" s="7">
        <f t="shared" si="61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1"/>
        <v>0</v>
      </c>
      <c r="Q104" s="7">
        <f t="shared" si="58"/>
        <v>0</v>
      </c>
      <c r="R104" s="7">
        <f t="shared" si="60"/>
        <v>0</v>
      </c>
      <c r="S104" s="7">
        <f t="shared" si="63"/>
        <v>0</v>
      </c>
      <c r="T104" s="7">
        <f t="shared" si="66"/>
        <v>0</v>
      </c>
      <c r="U104" s="7">
        <f t="shared" si="65"/>
        <v>0</v>
      </c>
      <c r="V104" s="4">
        <v>1.3</v>
      </c>
      <c r="W104" s="7">
        <f t="shared" si="51"/>
        <v>0</v>
      </c>
      <c r="X104" s="4">
        <f t="shared" si="52"/>
        <v>0</v>
      </c>
      <c r="Y104" s="4">
        <f t="shared" si="53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4"/>
        <v>0</v>
      </c>
      <c r="AE104" s="4">
        <f t="shared" si="55"/>
        <v>0</v>
      </c>
      <c r="AF104" s="7">
        <f t="shared" si="61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1"/>
        <v>0</v>
      </c>
      <c r="Q105" s="7">
        <f t="shared" si="58"/>
        <v>0</v>
      </c>
      <c r="R105" s="7">
        <f t="shared" si="60"/>
        <v>0</v>
      </c>
      <c r="S105" s="7">
        <f t="shared" si="63"/>
        <v>0</v>
      </c>
      <c r="T105" s="7">
        <f t="shared" si="66"/>
        <v>0</v>
      </c>
      <c r="U105" s="7">
        <f t="shared" si="65"/>
        <v>0</v>
      </c>
      <c r="V105" s="4">
        <v>1.3</v>
      </c>
      <c r="W105" s="7">
        <f t="shared" si="51"/>
        <v>0</v>
      </c>
      <c r="X105" s="4">
        <f t="shared" si="52"/>
        <v>0</v>
      </c>
      <c r="Y105" s="4">
        <f t="shared" si="53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4"/>
        <v>0</v>
      </c>
      <c r="AE105" s="4">
        <f t="shared" si="55"/>
        <v>0</v>
      </c>
      <c r="AF105" s="7">
        <f t="shared" si="61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1"/>
        <v>0</v>
      </c>
      <c r="Q106" s="7">
        <f t="shared" si="58"/>
        <v>0</v>
      </c>
      <c r="R106" s="7">
        <f t="shared" si="60"/>
        <v>0</v>
      </c>
      <c r="S106" s="7">
        <f t="shared" si="63"/>
        <v>0</v>
      </c>
      <c r="T106" s="7">
        <f t="shared" si="66"/>
        <v>0</v>
      </c>
      <c r="U106" s="7">
        <f t="shared" si="65"/>
        <v>0</v>
      </c>
      <c r="V106" s="4">
        <v>1.3</v>
      </c>
      <c r="W106" s="7">
        <f t="shared" si="51"/>
        <v>0</v>
      </c>
      <c r="X106" s="4">
        <f t="shared" si="52"/>
        <v>0</v>
      </c>
      <c r="Y106" s="4">
        <f t="shared" si="53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4"/>
        <v>0</v>
      </c>
      <c r="AE106" s="4">
        <f t="shared" si="55"/>
        <v>0</v>
      </c>
      <c r="AF106" s="7">
        <f t="shared" si="61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1"/>
        <v>0</v>
      </c>
      <c r="Q107" s="7">
        <f t="shared" si="58"/>
        <v>0</v>
      </c>
      <c r="R107" s="7">
        <f t="shared" si="60"/>
        <v>0</v>
      </c>
      <c r="S107" s="7">
        <f t="shared" si="63"/>
        <v>0</v>
      </c>
      <c r="T107" s="7">
        <f t="shared" si="66"/>
        <v>0</v>
      </c>
      <c r="U107" s="7">
        <f t="shared" si="65"/>
        <v>0</v>
      </c>
      <c r="V107" s="4">
        <v>1.3</v>
      </c>
      <c r="W107" s="7">
        <f t="shared" si="51"/>
        <v>0</v>
      </c>
      <c r="X107" s="4">
        <f t="shared" si="52"/>
        <v>0</v>
      </c>
      <c r="Y107" s="4">
        <f t="shared" si="53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4"/>
        <v>0</v>
      </c>
      <c r="AE107" s="4">
        <f t="shared" si="55"/>
        <v>0</v>
      </c>
      <c r="AF107" s="7">
        <f t="shared" si="61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1"/>
        <v>0</v>
      </c>
      <c r="Q108" s="7">
        <f t="shared" si="58"/>
        <v>0</v>
      </c>
      <c r="R108" s="7">
        <f t="shared" si="60"/>
        <v>0</v>
      </c>
      <c r="S108" s="7">
        <f t="shared" si="63"/>
        <v>0</v>
      </c>
      <c r="T108" s="7">
        <f t="shared" si="66"/>
        <v>0</v>
      </c>
      <c r="U108" s="7">
        <f t="shared" si="65"/>
        <v>0</v>
      </c>
      <c r="V108" s="4">
        <v>1.4</v>
      </c>
      <c r="W108" s="7">
        <f t="shared" si="51"/>
        <v>0</v>
      </c>
      <c r="X108" s="4">
        <f t="shared" si="52"/>
        <v>0</v>
      </c>
      <c r="Y108" s="4">
        <f t="shared" si="53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4"/>
        <v>0</v>
      </c>
      <c r="AE108" s="4">
        <f t="shared" si="55"/>
        <v>0</v>
      </c>
      <c r="AF108" s="7">
        <f t="shared" si="61"/>
        <v>0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topLeftCell="A7"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601</v>
      </c>
      <c r="Y1" s="7">
        <v>3</v>
      </c>
      <c r="Z1" s="4">
        <v>602</v>
      </c>
      <c r="AA1" s="7">
        <v>603</v>
      </c>
    </row>
    <row r="2" spans="1:27">
      <c r="A2" s="7">
        <v>1</v>
      </c>
      <c r="B2" s="7">
        <v>100</v>
      </c>
      <c r="C2" s="7">
        <f t="shared" ref="C2:C1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1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601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601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605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601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601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606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601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601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601</v>
      </c>
      <c r="J5" s="7">
        <v>10</v>
      </c>
      <c r="K5" s="7">
        <f>IF(H5=1,"",INDEX($X$1:$X$3,MATCH(H5,$V$1:$V$3,0)))</f>
        <v>605</v>
      </c>
      <c r="L5" s="7">
        <f t="shared" si="4"/>
        <v>5</v>
      </c>
      <c r="M5" s="7"/>
      <c r="N5" s="7">
        <f>IF(A5&lt;5,$X$1,IF(A5&gt;10,$AA$1,$Z$1))</f>
        <v>601</v>
      </c>
      <c r="O5" s="7">
        <v>10</v>
      </c>
      <c r="P5" s="7">
        <f>IF(H5=1,"",INDEX($X$1:$X$3,MATCH(H5,$V$1:$V$3,0)))</f>
        <v>605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602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602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602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602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602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602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602</v>
      </c>
      <c r="J9" s="7">
        <v>10</v>
      </c>
      <c r="K9" s="7">
        <f>IF(H9=1,"",INDEX($X$1:$X$3,MATCH(H9,$V$1:$V$3,0)))</f>
        <v>605</v>
      </c>
      <c r="L9" s="7">
        <f t="shared" si="4"/>
        <v>5</v>
      </c>
      <c r="M9" s="7"/>
      <c r="N9" s="7">
        <f>IF(A9&lt;5,$X$1,IF(A9&gt;10,$AA$1,$Z$1))</f>
        <v>602</v>
      </c>
      <c r="O9" s="7">
        <v>10</v>
      </c>
      <c r="P9" s="7">
        <f>IF(H9=1,"",INDEX($X$1:$X$3,MATCH(H9,$V$1:$V$3,0)))</f>
        <v>605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602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602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602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602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603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603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603</v>
      </c>
      <c r="J13" s="7">
        <v>15</v>
      </c>
      <c r="K13" s="7">
        <f>IF(H13=1,"",INDEX($X$1:$X$3,MATCH(H13,$V$1:$V$3,0)))</f>
        <v>606</v>
      </c>
      <c r="L13" s="7">
        <f t="shared" si="4"/>
        <v>1</v>
      </c>
      <c r="M13" s="7"/>
      <c r="N13" s="7">
        <f>IF(A13&lt;5,$X$1,IF(A13&gt;10,$AA$1,$Z$1))</f>
        <v>603</v>
      </c>
      <c r="O13" s="7">
        <v>15</v>
      </c>
      <c r="P13" s="7">
        <f>IF(H13=1,"",INDEX($X$1:$X$3,MATCH(H13,$V$1:$V$3,0)))</f>
        <v>606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>ROUNDDOWN(B32/$X$6,0)</f>
        <v>50</v>
      </c>
      <c r="D32" s="7"/>
      <c r="E32" s="7"/>
      <c r="F32" s="7">
        <f>ROUND(C32*$Y$6/100,0)</f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>ROUNDDOWN(B33/$X$6,0)</f>
        <v>74</v>
      </c>
      <c r="D33" s="7"/>
      <c r="E33" s="7"/>
      <c r="F33" s="7">
        <f>ROUND(C33*$Y$6/100,0)</f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1">IF(I2="","",_xlfn.TEXTJOIN(",",TRUE,I2:J2))</f>
        <v>601,10</v>
      </c>
      <c r="J40" s="7" t="str">
        <f t="shared" ref="J40:J69" si="12">IF(I40="","",_xlfn.TEXTJOIN(",",TRUE,I40,H40))</f>
        <v>601,10,1</v>
      </c>
      <c r="K40" s="7" t="str">
        <f t="shared" si="11"/>
        <v/>
      </c>
      <c r="L40" s="7" t="str">
        <f t="shared" ref="L40:L69" si="13">IF(K40="","",_xlfn.TEXTJOIN(",",TRUE,K40,H40))</f>
        <v/>
      </c>
      <c r="M40" s="7" t="str">
        <f t="shared" ref="M40:M69" si="14">_xlfn.TEXTJOIN(";",TRUE,J40,L40)</f>
        <v>601,10,1</v>
      </c>
      <c r="N40" s="7" t="str">
        <f t="shared" si="11"/>
        <v>601,10</v>
      </c>
      <c r="O40" s="7" t="str">
        <f t="shared" ref="O40:O69" si="15">IF(N40="","",N40&amp;","&amp;H40)</f>
        <v>601,10,1</v>
      </c>
      <c r="P40" s="7" t="str">
        <f t="shared" ref="P40:P69" si="16">IF(P2="","",P2&amp;","&amp;Q2)</f>
        <v/>
      </c>
      <c r="Q40" s="7" t="str">
        <f t="shared" ref="Q40:Q69" si="17">IF(P40="","",P40&amp;","&amp;H40)</f>
        <v/>
      </c>
      <c r="R40" s="7" t="str">
        <f t="shared" ref="R40:R69" si="18">_xlfn.TEXTJOIN(";",TRUE,O40,Q40)</f>
        <v>601,10,1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19">IF(I3="","",_xlfn.TEXTJOIN(",",TRUE,I3:J3))</f>
        <v>601,10</v>
      </c>
      <c r="J41" s="7" t="str">
        <f t="shared" si="12"/>
        <v>601,10,2</v>
      </c>
      <c r="K41" s="7" t="str">
        <f t="shared" si="19"/>
        <v/>
      </c>
      <c r="L41" s="7" t="str">
        <f t="shared" si="13"/>
        <v/>
      </c>
      <c r="M41" s="7" t="str">
        <f t="shared" si="14"/>
        <v>601,10,2</v>
      </c>
      <c r="N41" s="7" t="str">
        <f t="shared" si="19"/>
        <v>601,10</v>
      </c>
      <c r="O41" s="7" t="str">
        <f t="shared" si="15"/>
        <v>601,10,2</v>
      </c>
      <c r="P41" s="7" t="str">
        <f t="shared" si="16"/>
        <v/>
      </c>
      <c r="Q41" s="7" t="str">
        <f t="shared" si="17"/>
        <v/>
      </c>
      <c r="R41" s="7" t="str">
        <f t="shared" si="18"/>
        <v>601,10,2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0">IF(I4="","",_xlfn.TEXTJOIN(",",TRUE,I4:J4))</f>
        <v>601,10</v>
      </c>
      <c r="J42" s="7" t="str">
        <f t="shared" si="12"/>
        <v>601,10,3</v>
      </c>
      <c r="K42" s="7" t="str">
        <f t="shared" si="20"/>
        <v/>
      </c>
      <c r="L42" s="7" t="str">
        <f t="shared" si="13"/>
        <v/>
      </c>
      <c r="M42" s="7" t="str">
        <f t="shared" si="14"/>
        <v>601,10,3</v>
      </c>
      <c r="N42" s="7" t="str">
        <f t="shared" si="20"/>
        <v>601,10</v>
      </c>
      <c r="O42" s="7" t="str">
        <f t="shared" si="15"/>
        <v>601,10,3</v>
      </c>
      <c r="P42" s="7" t="str">
        <f t="shared" si="16"/>
        <v/>
      </c>
      <c r="Q42" s="7" t="str">
        <f t="shared" si="17"/>
        <v/>
      </c>
      <c r="R42" s="7" t="str">
        <f t="shared" si="18"/>
        <v>601,10,3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1">IF(I5="","",_xlfn.TEXTJOIN(",",TRUE,I5:J5))</f>
        <v>601,10</v>
      </c>
      <c r="J43" s="7" t="str">
        <f t="shared" si="12"/>
        <v>601,10,4</v>
      </c>
      <c r="K43" s="7" t="str">
        <f t="shared" si="21"/>
        <v>605,5</v>
      </c>
      <c r="L43" s="7" t="str">
        <f t="shared" si="13"/>
        <v>605,5,4</v>
      </c>
      <c r="M43" s="7" t="str">
        <f t="shared" si="14"/>
        <v>601,10,4;605,5,4</v>
      </c>
      <c r="N43" s="7" t="str">
        <f t="shared" si="21"/>
        <v>601,10</v>
      </c>
      <c r="O43" s="7" t="str">
        <f t="shared" si="15"/>
        <v>601,10,4</v>
      </c>
      <c r="P43" s="7" t="str">
        <f t="shared" si="16"/>
        <v>605,5</v>
      </c>
      <c r="Q43" s="7" t="str">
        <f t="shared" si="17"/>
        <v>605,5,4</v>
      </c>
      <c r="R43" s="7" t="str">
        <f t="shared" si="18"/>
        <v>601,10,4;605,5,4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2">IF(I6="","",_xlfn.TEXTJOIN(",",TRUE,I6:J6))</f>
        <v>602,10</v>
      </c>
      <c r="J44" s="7" t="str">
        <f t="shared" si="12"/>
        <v>602,10,5</v>
      </c>
      <c r="K44" s="7" t="str">
        <f t="shared" si="22"/>
        <v/>
      </c>
      <c r="L44" s="7" t="str">
        <f t="shared" si="13"/>
        <v/>
      </c>
      <c r="M44" s="7" t="str">
        <f t="shared" si="14"/>
        <v>602,10,5</v>
      </c>
      <c r="N44" s="7" t="str">
        <f t="shared" si="22"/>
        <v>602,10</v>
      </c>
      <c r="O44" s="7" t="str">
        <f t="shared" si="15"/>
        <v>602,10,5</v>
      </c>
      <c r="P44" s="7" t="str">
        <f t="shared" si="16"/>
        <v/>
      </c>
      <c r="Q44" s="7" t="str">
        <f t="shared" si="17"/>
        <v/>
      </c>
      <c r="R44" s="7" t="str">
        <f t="shared" si="18"/>
        <v>602,10,5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3">IF(I7="","",_xlfn.TEXTJOIN(",",TRUE,I7:J7))</f>
        <v>602,10</v>
      </c>
      <c r="J45" s="7" t="str">
        <f t="shared" si="12"/>
        <v>602,10,6</v>
      </c>
      <c r="K45" s="7" t="str">
        <f t="shared" si="23"/>
        <v/>
      </c>
      <c r="L45" s="7" t="str">
        <f t="shared" si="13"/>
        <v/>
      </c>
      <c r="M45" s="7" t="str">
        <f t="shared" si="14"/>
        <v>602,10,6</v>
      </c>
      <c r="N45" s="7" t="str">
        <f t="shared" si="23"/>
        <v>602,10</v>
      </c>
      <c r="O45" s="7" t="str">
        <f t="shared" si="15"/>
        <v>602,10,6</v>
      </c>
      <c r="P45" s="7" t="str">
        <f t="shared" si="16"/>
        <v/>
      </c>
      <c r="Q45" s="7" t="str">
        <f t="shared" si="17"/>
        <v/>
      </c>
      <c r="R45" s="7" t="str">
        <f t="shared" si="18"/>
        <v>602,10,6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4">IF(I8="","",_xlfn.TEXTJOIN(",",TRUE,I8:J8))</f>
        <v>602,10</v>
      </c>
      <c r="J46" s="7" t="str">
        <f t="shared" si="12"/>
        <v>602,10,7</v>
      </c>
      <c r="K46" s="7" t="str">
        <f t="shared" si="24"/>
        <v/>
      </c>
      <c r="L46" s="7" t="str">
        <f t="shared" si="13"/>
        <v/>
      </c>
      <c r="M46" s="7" t="str">
        <f t="shared" si="14"/>
        <v>602,10,7</v>
      </c>
      <c r="N46" s="7" t="str">
        <f t="shared" si="24"/>
        <v>602,10</v>
      </c>
      <c r="O46" s="7" t="str">
        <f t="shared" si="15"/>
        <v>602,10,7</v>
      </c>
      <c r="P46" s="7" t="str">
        <f t="shared" si="16"/>
        <v/>
      </c>
      <c r="Q46" s="7" t="str">
        <f t="shared" si="17"/>
        <v/>
      </c>
      <c r="R46" s="7" t="str">
        <f t="shared" si="18"/>
        <v>602,10,7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5">IF(I9="","",_xlfn.TEXTJOIN(",",TRUE,I9:J9))</f>
        <v>602,10</v>
      </c>
      <c r="J47" s="7" t="str">
        <f t="shared" si="12"/>
        <v>602,10,8</v>
      </c>
      <c r="K47" s="7" t="str">
        <f t="shared" si="25"/>
        <v>605,5</v>
      </c>
      <c r="L47" s="7" t="str">
        <f t="shared" si="13"/>
        <v>605,5,8</v>
      </c>
      <c r="M47" s="7" t="str">
        <f t="shared" si="14"/>
        <v>602,10,8;605,5,8</v>
      </c>
      <c r="N47" s="7" t="str">
        <f t="shared" si="25"/>
        <v>602,10</v>
      </c>
      <c r="O47" s="7" t="str">
        <f t="shared" si="15"/>
        <v>602,10,8</v>
      </c>
      <c r="P47" s="7" t="str">
        <f t="shared" si="16"/>
        <v>605,5</v>
      </c>
      <c r="Q47" s="7" t="str">
        <f t="shared" si="17"/>
        <v>605,5,8</v>
      </c>
      <c r="R47" s="7" t="str">
        <f t="shared" si="18"/>
        <v>602,10,8;605,5,8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6">IF(I10="","",_xlfn.TEXTJOIN(",",TRUE,I10:J10))</f>
        <v>602,15</v>
      </c>
      <c r="J48" s="7" t="str">
        <f t="shared" si="12"/>
        <v>602,15,9</v>
      </c>
      <c r="K48" s="7" t="str">
        <f t="shared" si="26"/>
        <v/>
      </c>
      <c r="L48" s="7" t="str">
        <f t="shared" si="13"/>
        <v/>
      </c>
      <c r="M48" s="7" t="str">
        <f t="shared" si="14"/>
        <v>602,15,9</v>
      </c>
      <c r="N48" s="7" t="str">
        <f t="shared" si="26"/>
        <v>602,15</v>
      </c>
      <c r="O48" s="7" t="str">
        <f t="shared" si="15"/>
        <v>602,15,9</v>
      </c>
      <c r="P48" s="7" t="str">
        <f t="shared" si="16"/>
        <v/>
      </c>
      <c r="Q48" s="7" t="str">
        <f t="shared" si="17"/>
        <v/>
      </c>
      <c r="R48" s="7" t="str">
        <f t="shared" si="18"/>
        <v>602,15,9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7">IF(I11="","",_xlfn.TEXTJOIN(",",TRUE,I11:J11))</f>
        <v>602,15</v>
      </c>
      <c r="J49" s="7" t="str">
        <f t="shared" si="12"/>
        <v>602,15,10</v>
      </c>
      <c r="K49" s="7" t="str">
        <f t="shared" si="27"/>
        <v/>
      </c>
      <c r="L49" s="7" t="str">
        <f t="shared" si="13"/>
        <v/>
      </c>
      <c r="M49" s="7" t="str">
        <f t="shared" si="14"/>
        <v>602,15,10</v>
      </c>
      <c r="N49" s="7" t="str">
        <f t="shared" si="27"/>
        <v>602,15</v>
      </c>
      <c r="O49" s="7" t="str">
        <f t="shared" si="15"/>
        <v>602,15,10</v>
      </c>
      <c r="P49" s="7" t="str">
        <f t="shared" si="16"/>
        <v/>
      </c>
      <c r="Q49" s="7" t="str">
        <f t="shared" si="17"/>
        <v/>
      </c>
      <c r="R49" s="7" t="str">
        <f t="shared" si="18"/>
        <v>602,15,10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8">IF(I12="","",_xlfn.TEXTJOIN(",",TRUE,I12:J12))</f>
        <v>603,15</v>
      </c>
      <c r="J50" s="7" t="str">
        <f t="shared" si="12"/>
        <v>603,15,11</v>
      </c>
      <c r="K50" s="7" t="str">
        <f t="shared" si="28"/>
        <v/>
      </c>
      <c r="L50" s="7" t="str">
        <f t="shared" si="13"/>
        <v/>
      </c>
      <c r="M50" s="7" t="str">
        <f t="shared" si="14"/>
        <v>603,15,11</v>
      </c>
      <c r="N50" s="7" t="str">
        <f t="shared" si="28"/>
        <v>603,15</v>
      </c>
      <c r="O50" s="7" t="str">
        <f t="shared" si="15"/>
        <v>603,15,11</v>
      </c>
      <c r="P50" s="7" t="str">
        <f t="shared" si="16"/>
        <v/>
      </c>
      <c r="Q50" s="7" t="str">
        <f t="shared" si="17"/>
        <v/>
      </c>
      <c r="R50" s="7" t="str">
        <f t="shared" si="18"/>
        <v>603,15,11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29">IF(I13="","",_xlfn.TEXTJOIN(",",TRUE,I13:J13))</f>
        <v>603,15</v>
      </c>
      <c r="J51" s="7" t="str">
        <f t="shared" si="12"/>
        <v>603,15,12</v>
      </c>
      <c r="K51" s="7" t="str">
        <f t="shared" si="29"/>
        <v>606,1</v>
      </c>
      <c r="L51" s="7" t="str">
        <f t="shared" si="13"/>
        <v>606,1,12</v>
      </c>
      <c r="M51" s="7" t="str">
        <f t="shared" si="14"/>
        <v>603,15,12;606,1,12</v>
      </c>
      <c r="N51" s="7" t="str">
        <f t="shared" si="29"/>
        <v>603,15</v>
      </c>
      <c r="O51" s="7" t="str">
        <f t="shared" si="15"/>
        <v>603,15,12</v>
      </c>
      <c r="P51" s="7" t="str">
        <f t="shared" si="16"/>
        <v>606,1</v>
      </c>
      <c r="Q51" s="7" t="str">
        <f t="shared" si="17"/>
        <v>606,1,12</v>
      </c>
      <c r="R51" s="7" t="str">
        <f t="shared" si="18"/>
        <v>603,15,12;606,1,12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0">IF(I14="","",_xlfn.TEXTJOIN(",",TRUE,I14:J14))</f>
        <v/>
      </c>
      <c r="J52" s="7" t="str">
        <f t="shared" si="12"/>
        <v/>
      </c>
      <c r="K52" s="7" t="str">
        <f t="shared" si="30"/>
        <v/>
      </c>
      <c r="L52" s="7" t="str">
        <f t="shared" si="13"/>
        <v/>
      </c>
      <c r="M52" s="7" t="str">
        <f t="shared" si="14"/>
        <v/>
      </c>
      <c r="N52" s="7" t="str">
        <f t="shared" si="30"/>
        <v/>
      </c>
      <c r="O52" s="7" t="str">
        <f t="shared" si="15"/>
        <v/>
      </c>
      <c r="P52" s="7" t="str">
        <f t="shared" si="16"/>
        <v/>
      </c>
      <c r="Q52" s="7" t="str">
        <f t="shared" si="17"/>
        <v/>
      </c>
      <c r="R52" s="7" t="str">
        <f t="shared" si="18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1">IF(I15="","",_xlfn.TEXTJOIN(",",TRUE,I15:J15))</f>
        <v/>
      </c>
      <c r="J53" s="7" t="str">
        <f t="shared" si="12"/>
        <v/>
      </c>
      <c r="K53" s="7" t="str">
        <f t="shared" si="31"/>
        <v/>
      </c>
      <c r="L53" s="7" t="str">
        <f t="shared" si="13"/>
        <v/>
      </c>
      <c r="M53" s="7" t="str">
        <f t="shared" si="14"/>
        <v/>
      </c>
      <c r="N53" s="7" t="str">
        <f t="shared" si="31"/>
        <v/>
      </c>
      <c r="O53" s="7" t="str">
        <f t="shared" si="15"/>
        <v/>
      </c>
      <c r="P53" s="7" t="str">
        <f t="shared" si="16"/>
        <v/>
      </c>
      <c r="Q53" s="7" t="str">
        <f t="shared" si="17"/>
        <v/>
      </c>
      <c r="R53" s="7" t="str">
        <f t="shared" si="18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2">IF(I16="","",_xlfn.TEXTJOIN(",",TRUE,I16:J16))</f>
        <v/>
      </c>
      <c r="J54" s="7" t="str">
        <f t="shared" si="12"/>
        <v/>
      </c>
      <c r="K54" s="7" t="str">
        <f t="shared" si="32"/>
        <v/>
      </c>
      <c r="L54" s="7" t="str">
        <f t="shared" si="13"/>
        <v/>
      </c>
      <c r="M54" s="7" t="str">
        <f t="shared" si="14"/>
        <v/>
      </c>
      <c r="N54" s="7" t="str">
        <f t="shared" si="32"/>
        <v/>
      </c>
      <c r="O54" s="7" t="str">
        <f t="shared" si="15"/>
        <v/>
      </c>
      <c r="P54" s="7" t="str">
        <f t="shared" si="16"/>
        <v/>
      </c>
      <c r="Q54" s="7" t="str">
        <f t="shared" si="17"/>
        <v/>
      </c>
      <c r="R54" s="7" t="str">
        <f t="shared" si="18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3">IF(I17="","",_xlfn.TEXTJOIN(",",TRUE,I17:J17))</f>
        <v/>
      </c>
      <c r="J55" s="7" t="str">
        <f t="shared" si="12"/>
        <v/>
      </c>
      <c r="K55" s="7" t="str">
        <f t="shared" si="33"/>
        <v/>
      </c>
      <c r="L55" s="7" t="str">
        <f t="shared" si="13"/>
        <v/>
      </c>
      <c r="M55" s="7" t="str">
        <f t="shared" si="14"/>
        <v/>
      </c>
      <c r="N55" s="7" t="str">
        <f t="shared" si="33"/>
        <v/>
      </c>
      <c r="O55" s="7" t="str">
        <f t="shared" si="15"/>
        <v/>
      </c>
      <c r="P55" s="7" t="str">
        <f t="shared" si="16"/>
        <v/>
      </c>
      <c r="Q55" s="7" t="str">
        <f t="shared" si="17"/>
        <v/>
      </c>
      <c r="R55" s="7" t="str">
        <f t="shared" si="18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4">IF(I18="","",_xlfn.TEXTJOIN(",",TRUE,I18:J18))</f>
        <v/>
      </c>
      <c r="J56" s="7" t="str">
        <f t="shared" si="12"/>
        <v/>
      </c>
      <c r="K56" s="7" t="str">
        <f t="shared" si="34"/>
        <v/>
      </c>
      <c r="L56" s="7" t="str">
        <f t="shared" si="13"/>
        <v/>
      </c>
      <c r="M56" s="7" t="str">
        <f t="shared" si="14"/>
        <v/>
      </c>
      <c r="N56" s="7" t="str">
        <f t="shared" si="34"/>
        <v/>
      </c>
      <c r="O56" s="7" t="str">
        <f t="shared" si="15"/>
        <v/>
      </c>
      <c r="P56" s="7" t="str">
        <f t="shared" si="16"/>
        <v/>
      </c>
      <c r="Q56" s="7" t="str">
        <f t="shared" si="17"/>
        <v/>
      </c>
      <c r="R56" s="7" t="str">
        <f t="shared" si="18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5">IF(I19="","",_xlfn.TEXTJOIN(",",TRUE,I19:J19))</f>
        <v/>
      </c>
      <c r="J57" s="7" t="str">
        <f t="shared" si="12"/>
        <v/>
      </c>
      <c r="K57" s="7" t="str">
        <f t="shared" si="35"/>
        <v/>
      </c>
      <c r="L57" s="7" t="str">
        <f t="shared" si="13"/>
        <v/>
      </c>
      <c r="M57" s="7" t="str">
        <f t="shared" si="14"/>
        <v/>
      </c>
      <c r="N57" s="7" t="str">
        <f t="shared" si="35"/>
        <v/>
      </c>
      <c r="O57" s="7" t="str">
        <f t="shared" si="15"/>
        <v/>
      </c>
      <c r="P57" s="7" t="str">
        <f t="shared" si="16"/>
        <v/>
      </c>
      <c r="Q57" s="7" t="str">
        <f t="shared" si="17"/>
        <v/>
      </c>
      <c r="R57" s="7" t="str">
        <f t="shared" si="18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6">IF(I20="","",_xlfn.TEXTJOIN(",",TRUE,I20:J20))</f>
        <v/>
      </c>
      <c r="J58" s="7" t="str">
        <f t="shared" si="12"/>
        <v/>
      </c>
      <c r="K58" s="7" t="str">
        <f t="shared" si="36"/>
        <v/>
      </c>
      <c r="L58" s="7" t="str">
        <f t="shared" si="13"/>
        <v/>
      </c>
      <c r="M58" s="7" t="str">
        <f t="shared" si="14"/>
        <v/>
      </c>
      <c r="N58" s="7" t="str">
        <f t="shared" si="36"/>
        <v/>
      </c>
      <c r="O58" s="7" t="str">
        <f t="shared" si="15"/>
        <v/>
      </c>
      <c r="P58" s="7" t="str">
        <f t="shared" si="16"/>
        <v/>
      </c>
      <c r="Q58" s="7" t="str">
        <f t="shared" si="17"/>
        <v/>
      </c>
      <c r="R58" s="7" t="str">
        <f t="shared" si="18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7">IF(I21="","",_xlfn.TEXTJOIN(",",TRUE,I21:J21))</f>
        <v/>
      </c>
      <c r="J59" s="7" t="str">
        <f t="shared" si="12"/>
        <v/>
      </c>
      <c r="K59" s="7" t="str">
        <f t="shared" si="37"/>
        <v/>
      </c>
      <c r="L59" s="7" t="str">
        <f t="shared" si="13"/>
        <v/>
      </c>
      <c r="M59" s="7" t="str">
        <f t="shared" si="14"/>
        <v/>
      </c>
      <c r="N59" s="7" t="str">
        <f t="shared" si="37"/>
        <v/>
      </c>
      <c r="O59" s="7" t="str">
        <f t="shared" si="15"/>
        <v/>
      </c>
      <c r="P59" s="7" t="str">
        <f t="shared" si="16"/>
        <v/>
      </c>
      <c r="Q59" s="7" t="str">
        <f t="shared" si="17"/>
        <v/>
      </c>
      <c r="R59" s="7" t="str">
        <f t="shared" si="18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8">IF(I22="","",_xlfn.TEXTJOIN(",",TRUE,I22:J22))</f>
        <v/>
      </c>
      <c r="J60" s="7" t="str">
        <f t="shared" si="12"/>
        <v/>
      </c>
      <c r="K60" s="7" t="str">
        <f t="shared" si="38"/>
        <v/>
      </c>
      <c r="L60" s="7" t="str">
        <f t="shared" si="13"/>
        <v/>
      </c>
      <c r="M60" s="7" t="str">
        <f t="shared" si="14"/>
        <v/>
      </c>
      <c r="N60" s="7" t="str">
        <f t="shared" si="38"/>
        <v/>
      </c>
      <c r="O60" s="7" t="str">
        <f t="shared" si="15"/>
        <v/>
      </c>
      <c r="P60" s="7" t="str">
        <f t="shared" si="16"/>
        <v/>
      </c>
      <c r="Q60" s="7" t="str">
        <f t="shared" si="17"/>
        <v/>
      </c>
      <c r="R60" s="7" t="str">
        <f t="shared" si="18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39">IF(I23="","",_xlfn.TEXTJOIN(",",TRUE,I23:J23))</f>
        <v/>
      </c>
      <c r="J61" s="7" t="str">
        <f t="shared" si="12"/>
        <v/>
      </c>
      <c r="K61" s="7" t="str">
        <f t="shared" si="39"/>
        <v/>
      </c>
      <c r="L61" s="7" t="str">
        <f t="shared" si="13"/>
        <v/>
      </c>
      <c r="M61" s="7" t="str">
        <f t="shared" si="14"/>
        <v/>
      </c>
      <c r="N61" s="7" t="str">
        <f t="shared" si="39"/>
        <v/>
      </c>
      <c r="O61" s="7" t="str">
        <f t="shared" si="15"/>
        <v/>
      </c>
      <c r="P61" s="7" t="str">
        <f t="shared" si="16"/>
        <v/>
      </c>
      <c r="Q61" s="7" t="str">
        <f t="shared" si="17"/>
        <v/>
      </c>
      <c r="R61" s="7" t="str">
        <f t="shared" si="18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0">IF(I24="","",_xlfn.TEXTJOIN(",",TRUE,I24:J24))</f>
        <v/>
      </c>
      <c r="J62" s="7" t="str">
        <f t="shared" si="12"/>
        <v/>
      </c>
      <c r="K62" s="7" t="str">
        <f t="shared" si="40"/>
        <v/>
      </c>
      <c r="L62" s="7" t="str">
        <f t="shared" si="13"/>
        <v/>
      </c>
      <c r="M62" s="7" t="str">
        <f t="shared" si="14"/>
        <v/>
      </c>
      <c r="N62" s="7" t="str">
        <f t="shared" si="40"/>
        <v/>
      </c>
      <c r="O62" s="7" t="str">
        <f t="shared" si="15"/>
        <v/>
      </c>
      <c r="P62" s="7" t="str">
        <f t="shared" si="16"/>
        <v/>
      </c>
      <c r="Q62" s="7" t="str">
        <f t="shared" si="17"/>
        <v/>
      </c>
      <c r="R62" s="7" t="str">
        <f t="shared" si="18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1">IF(I25="","",_xlfn.TEXTJOIN(",",TRUE,I25:J25))</f>
        <v/>
      </c>
      <c r="J63" s="7" t="str">
        <f t="shared" si="12"/>
        <v/>
      </c>
      <c r="K63" s="7" t="str">
        <f t="shared" si="41"/>
        <v/>
      </c>
      <c r="L63" s="7" t="str">
        <f t="shared" si="13"/>
        <v/>
      </c>
      <c r="M63" s="7" t="str">
        <f t="shared" si="14"/>
        <v/>
      </c>
      <c r="N63" s="7" t="str">
        <f t="shared" si="41"/>
        <v/>
      </c>
      <c r="O63" s="7" t="str">
        <f t="shared" si="15"/>
        <v/>
      </c>
      <c r="P63" s="7" t="str">
        <f t="shared" si="16"/>
        <v/>
      </c>
      <c r="Q63" s="7" t="str">
        <f t="shared" si="17"/>
        <v/>
      </c>
      <c r="R63" s="7" t="str">
        <f t="shared" si="18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2">IF(I26="","",_xlfn.TEXTJOIN(",",TRUE,I26:J26))</f>
        <v/>
      </c>
      <c r="J64" s="7" t="str">
        <f t="shared" si="12"/>
        <v/>
      </c>
      <c r="K64" s="7" t="str">
        <f t="shared" si="42"/>
        <v/>
      </c>
      <c r="L64" s="7" t="str">
        <f t="shared" si="13"/>
        <v/>
      </c>
      <c r="M64" s="7" t="str">
        <f t="shared" si="14"/>
        <v/>
      </c>
      <c r="N64" s="7" t="str">
        <f t="shared" si="42"/>
        <v/>
      </c>
      <c r="O64" s="7" t="str">
        <f t="shared" si="15"/>
        <v/>
      </c>
      <c r="P64" s="7" t="str">
        <f t="shared" si="16"/>
        <v/>
      </c>
      <c r="Q64" s="7" t="str">
        <f t="shared" si="17"/>
        <v/>
      </c>
      <c r="R64" s="7" t="str">
        <f t="shared" si="18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3">IF(I27="","",_xlfn.TEXTJOIN(",",TRUE,I27:J27))</f>
        <v/>
      </c>
      <c r="J65" s="7" t="str">
        <f t="shared" si="12"/>
        <v/>
      </c>
      <c r="K65" s="7" t="str">
        <f t="shared" si="43"/>
        <v/>
      </c>
      <c r="L65" s="7" t="str">
        <f t="shared" si="13"/>
        <v/>
      </c>
      <c r="M65" s="7" t="str">
        <f t="shared" si="14"/>
        <v/>
      </c>
      <c r="N65" s="7" t="str">
        <f t="shared" si="43"/>
        <v/>
      </c>
      <c r="O65" s="7" t="str">
        <f t="shared" si="15"/>
        <v/>
      </c>
      <c r="P65" s="7" t="str">
        <f t="shared" si="16"/>
        <v/>
      </c>
      <c r="Q65" s="7" t="str">
        <f t="shared" si="17"/>
        <v/>
      </c>
      <c r="R65" s="7" t="str">
        <f t="shared" si="18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4">IF(I28="","",_xlfn.TEXTJOIN(",",TRUE,I28:J28))</f>
        <v/>
      </c>
      <c r="J66" s="7" t="str">
        <f t="shared" si="12"/>
        <v/>
      </c>
      <c r="K66" s="7" t="str">
        <f t="shared" si="44"/>
        <v/>
      </c>
      <c r="L66" s="7" t="str">
        <f t="shared" si="13"/>
        <v/>
      </c>
      <c r="M66" s="7" t="str">
        <f t="shared" si="14"/>
        <v/>
      </c>
      <c r="N66" s="7" t="str">
        <f t="shared" si="44"/>
        <v/>
      </c>
      <c r="O66" s="7" t="str">
        <f t="shared" si="15"/>
        <v/>
      </c>
      <c r="P66" s="7" t="str">
        <f t="shared" si="16"/>
        <v/>
      </c>
      <c r="Q66" s="7" t="str">
        <f t="shared" si="17"/>
        <v/>
      </c>
      <c r="R66" s="7" t="str">
        <f t="shared" si="18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5">IF(I29="","",_xlfn.TEXTJOIN(",",TRUE,I29:J29))</f>
        <v/>
      </c>
      <c r="J67" s="7" t="str">
        <f t="shared" si="12"/>
        <v/>
      </c>
      <c r="K67" s="7" t="str">
        <f t="shared" si="45"/>
        <v/>
      </c>
      <c r="L67" s="7" t="str">
        <f t="shared" si="13"/>
        <v/>
      </c>
      <c r="M67" s="7" t="str">
        <f t="shared" si="14"/>
        <v/>
      </c>
      <c r="N67" s="7" t="str">
        <f t="shared" si="45"/>
        <v/>
      </c>
      <c r="O67" s="7" t="str">
        <f t="shared" si="15"/>
        <v/>
      </c>
      <c r="P67" s="7" t="str">
        <f t="shared" si="16"/>
        <v/>
      </c>
      <c r="Q67" s="7" t="str">
        <f t="shared" si="17"/>
        <v/>
      </c>
      <c r="R67" s="7" t="str">
        <f t="shared" si="18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6">IF(I30="","",_xlfn.TEXTJOIN(",",TRUE,I30:J30))</f>
        <v/>
      </c>
      <c r="J68" s="7" t="str">
        <f t="shared" si="12"/>
        <v/>
      </c>
      <c r="K68" s="7" t="str">
        <f t="shared" si="46"/>
        <v/>
      </c>
      <c r="L68" s="7" t="str">
        <f t="shared" si="13"/>
        <v/>
      </c>
      <c r="M68" s="7" t="str">
        <f t="shared" si="14"/>
        <v/>
      </c>
      <c r="N68" s="7" t="str">
        <f t="shared" si="46"/>
        <v/>
      </c>
      <c r="O68" s="7" t="str">
        <f t="shared" si="15"/>
        <v/>
      </c>
      <c r="P68" s="7" t="str">
        <f t="shared" si="16"/>
        <v/>
      </c>
      <c r="Q68" s="7" t="str">
        <f t="shared" si="17"/>
        <v/>
      </c>
      <c r="R68" s="7" t="str">
        <f t="shared" si="18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7">IF(I31="","",_xlfn.TEXTJOIN(",",TRUE,I31:J31))</f>
        <v/>
      </c>
      <c r="J69" s="7" t="str">
        <f t="shared" si="12"/>
        <v/>
      </c>
      <c r="K69" s="7" t="str">
        <f t="shared" si="47"/>
        <v/>
      </c>
      <c r="L69" s="7" t="str">
        <f t="shared" si="13"/>
        <v/>
      </c>
      <c r="M69" s="7" t="str">
        <f t="shared" si="14"/>
        <v/>
      </c>
      <c r="N69" s="7" t="str">
        <f t="shared" si="47"/>
        <v/>
      </c>
      <c r="O69" s="7" t="str">
        <f t="shared" si="15"/>
        <v/>
      </c>
      <c r="P69" s="7" t="str">
        <f t="shared" si="16"/>
        <v/>
      </c>
      <c r="Q69" s="7" t="str">
        <f t="shared" si="17"/>
        <v/>
      </c>
      <c r="R69" s="7" t="str">
        <f t="shared" si="18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601,10,1|601,10,2|601,10,3|601,10,4;605,5,4|602,10,5|602,10,6|602,10,7|602,10,8;605,5,8|602,15,9|602,15,10|603,15,11|603,15,12;606,1,12</v>
      </c>
      <c r="N71" s="7"/>
      <c r="O71" s="7"/>
      <c r="P71" s="7"/>
      <c r="Q71" s="7"/>
      <c r="R71" s="15" t="str">
        <f>_xlfn.TEXTJOIN("|",TRUE,R40:R69)</f>
        <v>601,10,1|601,10,2|601,10,3|601,10,4;605,5,4|602,10,5|602,10,6|602,10,7|602,10,8;605,5,8|602,15,9|602,15,10|603,15,11|603,15,12;606,1,12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8">SUM(P79:T79)+O79*0.6</f>
        <v>1.2</v>
      </c>
      <c r="V79" s="4">
        <v>0.5</v>
      </c>
      <c r="W79" s="7">
        <f t="shared" ref="W79:W108" si="49">F2</f>
        <v>2</v>
      </c>
      <c r="X79" s="4">
        <f t="shared" ref="X79:X108" si="50">(O79*W79)^V79</f>
        <v>2</v>
      </c>
      <c r="Y79" s="4">
        <f t="shared" ref="Y79:Y108" si="51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2">$R$77*U79*(AB79+AC79)</f>
        <v>1050</v>
      </c>
      <c r="AE79" s="4">
        <f t="shared" ref="AE79:AE108" si="53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4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8"/>
        <v>2.4</v>
      </c>
      <c r="V80" s="4">
        <v>0.5</v>
      </c>
      <c r="W80" s="7">
        <f t="shared" si="49"/>
        <v>3</v>
      </c>
      <c r="X80" s="4">
        <f t="shared" si="50"/>
        <v>2.12132034355964</v>
      </c>
      <c r="Y80" s="4">
        <f t="shared" si="51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2"/>
        <v>2100</v>
      </c>
      <c r="AE80" s="4">
        <f t="shared" si="53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4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8"/>
        <v>4.4</v>
      </c>
      <c r="V81" s="4">
        <f t="shared" ref="V81:V87" si="55">V79+0.1</f>
        <v>0.6</v>
      </c>
      <c r="W81" s="7">
        <f t="shared" si="49"/>
        <v>4</v>
      </c>
      <c r="X81" s="4">
        <f t="shared" si="50"/>
        <v>5.27803164309158</v>
      </c>
      <c r="Y81" s="4">
        <f t="shared" si="51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2"/>
        <v>3850</v>
      </c>
      <c r="AE81" s="4">
        <f t="shared" si="53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4"/>
        <v>2</v>
      </c>
      <c r="Q82" s="7">
        <f t="shared" ref="Q82:Q108" si="56">W82/N82*1</f>
        <v>2</v>
      </c>
      <c r="R82" s="7">
        <v>0</v>
      </c>
      <c r="S82" s="7">
        <v>0</v>
      </c>
      <c r="T82" s="7">
        <v>0</v>
      </c>
      <c r="U82" s="7">
        <f t="shared" si="48"/>
        <v>6.4</v>
      </c>
      <c r="V82" s="4">
        <f t="shared" si="55"/>
        <v>0.6</v>
      </c>
      <c r="W82" s="7">
        <f t="shared" si="49"/>
        <v>6</v>
      </c>
      <c r="X82" s="4">
        <f t="shared" si="50"/>
        <v>6.7317308726772</v>
      </c>
      <c r="Y82" s="4">
        <f t="shared" si="51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2"/>
        <v>5600</v>
      </c>
      <c r="AE82" s="4">
        <f t="shared" si="53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7">W83/N83*(1+1)*(1+0.5)</f>
        <v>7</v>
      </c>
      <c r="P83" s="7">
        <f t="shared" si="54"/>
        <v>2.33333333333333</v>
      </c>
      <c r="Q83" s="7">
        <f t="shared" si="56"/>
        <v>2.33333333333333</v>
      </c>
      <c r="R83" s="7">
        <v>0</v>
      </c>
      <c r="S83" s="7">
        <v>0</v>
      </c>
      <c r="T83" s="7">
        <v>0</v>
      </c>
      <c r="U83" s="7">
        <f t="shared" si="48"/>
        <v>8.86666666666667</v>
      </c>
      <c r="V83" s="4">
        <f t="shared" si="55"/>
        <v>0.7</v>
      </c>
      <c r="W83" s="7">
        <f t="shared" si="49"/>
        <v>7</v>
      </c>
      <c r="X83" s="4">
        <f t="shared" si="50"/>
        <v>15.2453449713795</v>
      </c>
      <c r="Y83" s="4">
        <f t="shared" si="51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2"/>
        <v>7758.33333333333</v>
      </c>
      <c r="AE83" s="4">
        <f t="shared" si="53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7"/>
        <v>6</v>
      </c>
      <c r="P84" s="7">
        <f t="shared" si="54"/>
        <v>2</v>
      </c>
      <c r="Q84" s="7">
        <f t="shared" si="56"/>
        <v>2</v>
      </c>
      <c r="R84" s="7">
        <f t="shared" ref="R84:R108" si="58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5"/>
        <v>0.7</v>
      </c>
      <c r="W84" s="7">
        <f t="shared" si="49"/>
        <v>8</v>
      </c>
      <c r="X84" s="4">
        <f t="shared" si="50"/>
        <v>15.026881656709</v>
      </c>
      <c r="Y84" s="4">
        <f t="shared" si="51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2"/>
        <v>8925</v>
      </c>
      <c r="AE84" s="4">
        <f t="shared" si="53"/>
        <v>312</v>
      </c>
      <c r="AF84" s="7">
        <f t="shared" ref="AF84:AF108" si="59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7"/>
        <v>7.5</v>
      </c>
      <c r="P85" s="7">
        <f t="shared" ref="P85:P88" si="60">W85/N85*(1+0.5)</f>
        <v>3.75</v>
      </c>
      <c r="Q85" s="7">
        <f t="shared" si="56"/>
        <v>2.5</v>
      </c>
      <c r="R85" s="7">
        <f t="shared" si="58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5"/>
        <v>0.8</v>
      </c>
      <c r="W85" s="7">
        <f t="shared" si="49"/>
        <v>10</v>
      </c>
      <c r="X85" s="4">
        <f t="shared" si="50"/>
        <v>31.6263454757063</v>
      </c>
      <c r="Y85" s="4">
        <f t="shared" si="51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2"/>
        <v>12906.25</v>
      </c>
      <c r="AE85" s="4">
        <f t="shared" si="53"/>
        <v>516</v>
      </c>
      <c r="AF85" s="7">
        <f t="shared" si="59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7"/>
        <v>6</v>
      </c>
      <c r="P86" s="7">
        <f t="shared" si="60"/>
        <v>3</v>
      </c>
      <c r="Q86" s="7">
        <f t="shared" si="56"/>
        <v>2</v>
      </c>
      <c r="R86" s="7">
        <f t="shared" si="58"/>
        <v>2</v>
      </c>
      <c r="S86" s="7">
        <f t="shared" ref="S86:S108" si="61">W86/N86*1</f>
        <v>2</v>
      </c>
      <c r="T86" s="7">
        <v>0</v>
      </c>
      <c r="U86" s="7">
        <f>SUM(P86:T86)+O86*0.9</f>
        <v>14.4</v>
      </c>
      <c r="V86" s="4">
        <f t="shared" si="55"/>
        <v>0.8</v>
      </c>
      <c r="W86" s="7">
        <f t="shared" si="49"/>
        <v>10</v>
      </c>
      <c r="X86" s="4">
        <f t="shared" si="50"/>
        <v>26.4558061866516</v>
      </c>
      <c r="Y86" s="4">
        <f t="shared" si="51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2"/>
        <v>12600</v>
      </c>
      <c r="AE86" s="4">
        <f t="shared" si="53"/>
        <v>504</v>
      </c>
      <c r="AF86" s="7">
        <f t="shared" si="59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2">W87/N87*(1+1)*(1+1)</f>
        <v>9.6</v>
      </c>
      <c r="P87" s="7">
        <f t="shared" si="60"/>
        <v>3.6</v>
      </c>
      <c r="Q87" s="7">
        <f t="shared" si="56"/>
        <v>2.4</v>
      </c>
      <c r="R87" s="7">
        <f t="shared" si="58"/>
        <v>2.4</v>
      </c>
      <c r="S87" s="7">
        <f t="shared" si="61"/>
        <v>2.4</v>
      </c>
      <c r="T87" s="7">
        <v>0</v>
      </c>
      <c r="U87" s="7">
        <f t="shared" ref="U87:U108" si="63">SUM(P87:T87)+O87*1</f>
        <v>20.4</v>
      </c>
      <c r="V87" s="4">
        <f t="shared" si="55"/>
        <v>0.9</v>
      </c>
      <c r="W87" s="7">
        <f t="shared" si="49"/>
        <v>12</v>
      </c>
      <c r="X87" s="4">
        <f t="shared" si="50"/>
        <v>71.6650207871839</v>
      </c>
      <c r="Y87" s="4">
        <f t="shared" si="51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2"/>
        <v>17850</v>
      </c>
      <c r="AE87" s="4">
        <f t="shared" si="53"/>
        <v>803</v>
      </c>
      <c r="AF87" s="7">
        <f t="shared" si="59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2"/>
        <v>9.33333333333333</v>
      </c>
      <c r="P88" s="7">
        <f t="shared" si="60"/>
        <v>3.5</v>
      </c>
      <c r="Q88" s="7">
        <f t="shared" si="56"/>
        <v>2.33333333333333</v>
      </c>
      <c r="R88" s="7">
        <f t="shared" si="58"/>
        <v>2.33333333333333</v>
      </c>
      <c r="S88" s="7">
        <f t="shared" si="61"/>
        <v>2.33333333333333</v>
      </c>
      <c r="T88" s="7">
        <f t="shared" ref="T88:T108" si="64">W88/N88*1</f>
        <v>2.33333333333333</v>
      </c>
      <c r="U88" s="7">
        <f t="shared" si="63"/>
        <v>22.1666666666667</v>
      </c>
      <c r="V88" s="4">
        <v>1</v>
      </c>
      <c r="W88" s="7">
        <f t="shared" si="49"/>
        <v>14</v>
      </c>
      <c r="X88" s="4">
        <f t="shared" si="50"/>
        <v>130.666666666667</v>
      </c>
      <c r="Y88" s="4">
        <f t="shared" si="51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2"/>
        <v>19395.8333333333</v>
      </c>
      <c r="AE88" s="4">
        <f t="shared" si="53"/>
        <v>485</v>
      </c>
      <c r="AF88" s="7">
        <f t="shared" si="59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2"/>
        <v>9.33333333333333</v>
      </c>
      <c r="P89" s="7">
        <f t="shared" ref="P89:P92" si="65">W89/N89*(1+0.5)*(1+1)</f>
        <v>7</v>
      </c>
      <c r="Q89" s="7">
        <f t="shared" si="56"/>
        <v>2.33333333333333</v>
      </c>
      <c r="R89" s="7">
        <f t="shared" si="58"/>
        <v>2.33333333333333</v>
      </c>
      <c r="S89" s="7">
        <f t="shared" si="61"/>
        <v>2.33333333333333</v>
      </c>
      <c r="T89" s="7">
        <f t="shared" si="64"/>
        <v>2.33333333333333</v>
      </c>
      <c r="U89" s="7">
        <f t="shared" si="63"/>
        <v>25.6666666666667</v>
      </c>
      <c r="V89" s="4">
        <v>1</v>
      </c>
      <c r="W89" s="7">
        <f t="shared" si="49"/>
        <v>14</v>
      </c>
      <c r="X89" s="4">
        <f t="shared" si="50"/>
        <v>130.666666666667</v>
      </c>
      <c r="Y89" s="4">
        <f t="shared" si="51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2"/>
        <v>22458.3333333333</v>
      </c>
      <c r="AE89" s="4">
        <f t="shared" si="53"/>
        <v>1123</v>
      </c>
      <c r="AF89" s="7">
        <f t="shared" si="59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2"/>
        <v>10.6666666666667</v>
      </c>
      <c r="P90" s="7">
        <f t="shared" si="65"/>
        <v>8</v>
      </c>
      <c r="Q90" s="7">
        <f t="shared" si="56"/>
        <v>2.66666666666667</v>
      </c>
      <c r="R90" s="7">
        <f t="shared" si="58"/>
        <v>2.66666666666667</v>
      </c>
      <c r="S90" s="7">
        <f t="shared" si="61"/>
        <v>2.66666666666667</v>
      </c>
      <c r="T90" s="7">
        <f t="shared" si="64"/>
        <v>2.66666666666667</v>
      </c>
      <c r="U90" s="7">
        <f t="shared" si="63"/>
        <v>29.3333333333333</v>
      </c>
      <c r="V90" s="4">
        <v>1</v>
      </c>
      <c r="W90" s="7">
        <f t="shared" si="49"/>
        <v>16</v>
      </c>
      <c r="X90" s="4">
        <f t="shared" si="50"/>
        <v>170.666666666667</v>
      </c>
      <c r="Y90" s="4">
        <f t="shared" si="51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2"/>
        <v>25666.6666666667</v>
      </c>
      <c r="AE90" s="26">
        <f t="shared" si="53"/>
        <v>1283</v>
      </c>
      <c r="AF90" s="7">
        <f t="shared" si="59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6">W91/N91*(1+1.5)*(1+1)</f>
        <v>0</v>
      </c>
      <c r="P91" s="7">
        <f t="shared" si="65"/>
        <v>0</v>
      </c>
      <c r="Q91" s="7">
        <f t="shared" si="56"/>
        <v>0</v>
      </c>
      <c r="R91" s="7">
        <f t="shared" si="58"/>
        <v>0</v>
      </c>
      <c r="S91" s="7">
        <f t="shared" si="61"/>
        <v>0</v>
      </c>
      <c r="T91" s="7">
        <f t="shared" si="64"/>
        <v>0</v>
      </c>
      <c r="U91" s="7">
        <f t="shared" si="63"/>
        <v>0</v>
      </c>
      <c r="V91" s="4">
        <v>1</v>
      </c>
      <c r="W91" s="7">
        <f t="shared" si="49"/>
        <v>0</v>
      </c>
      <c r="X91" s="4">
        <f t="shared" si="50"/>
        <v>0</v>
      </c>
      <c r="Y91" s="4">
        <f t="shared" si="51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2"/>
        <v>0</v>
      </c>
      <c r="AE91" s="4">
        <f t="shared" si="53"/>
        <v>0</v>
      </c>
      <c r="AF91" s="7">
        <f t="shared" si="59"/>
        <v>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6"/>
        <v>0</v>
      </c>
      <c r="P92" s="7">
        <f t="shared" si="65"/>
        <v>0</v>
      </c>
      <c r="Q92" s="7">
        <f t="shared" si="56"/>
        <v>0</v>
      </c>
      <c r="R92" s="7">
        <f t="shared" si="58"/>
        <v>0</v>
      </c>
      <c r="S92" s="7">
        <f t="shared" si="61"/>
        <v>0</v>
      </c>
      <c r="T92" s="7">
        <f t="shared" si="64"/>
        <v>0</v>
      </c>
      <c r="U92" s="7">
        <f t="shared" si="63"/>
        <v>0</v>
      </c>
      <c r="V92" s="4">
        <v>1</v>
      </c>
      <c r="W92" s="7">
        <f t="shared" si="49"/>
        <v>0</v>
      </c>
      <c r="X92" s="4">
        <f t="shared" si="50"/>
        <v>0</v>
      </c>
      <c r="Y92" s="4">
        <f t="shared" si="51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2"/>
        <v>0</v>
      </c>
      <c r="AE92" s="4">
        <f t="shared" si="53"/>
        <v>0</v>
      </c>
      <c r="AF92" s="7">
        <f t="shared" si="59"/>
        <v>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6"/>
        <v>0</v>
      </c>
      <c r="P93" s="7">
        <f t="shared" ref="P93:P96" si="67">W93/N93*(1+2)*(1+1)</f>
        <v>0</v>
      </c>
      <c r="Q93" s="7">
        <f t="shared" si="56"/>
        <v>0</v>
      </c>
      <c r="R93" s="7">
        <f t="shared" si="58"/>
        <v>0</v>
      </c>
      <c r="S93" s="7">
        <f t="shared" si="61"/>
        <v>0</v>
      </c>
      <c r="T93" s="7">
        <f t="shared" si="64"/>
        <v>0</v>
      </c>
      <c r="U93" s="7">
        <f t="shared" si="63"/>
        <v>0</v>
      </c>
      <c r="V93" s="4">
        <v>1.1</v>
      </c>
      <c r="W93" s="7">
        <f t="shared" si="49"/>
        <v>0</v>
      </c>
      <c r="X93" s="4">
        <f t="shared" si="50"/>
        <v>0</v>
      </c>
      <c r="Y93" s="4">
        <f t="shared" si="51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2"/>
        <v>0</v>
      </c>
      <c r="AE93" s="4">
        <f t="shared" si="53"/>
        <v>0</v>
      </c>
      <c r="AF93" s="7">
        <f t="shared" si="59"/>
        <v>0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6"/>
        <v>0</v>
      </c>
      <c r="P94" s="7">
        <f t="shared" si="67"/>
        <v>0</v>
      </c>
      <c r="Q94" s="7">
        <f t="shared" si="56"/>
        <v>0</v>
      </c>
      <c r="R94" s="7">
        <f t="shared" si="58"/>
        <v>0</v>
      </c>
      <c r="S94" s="7">
        <f t="shared" si="61"/>
        <v>0</v>
      </c>
      <c r="T94" s="7">
        <f t="shared" si="64"/>
        <v>0</v>
      </c>
      <c r="U94" s="7">
        <f t="shared" si="63"/>
        <v>0</v>
      </c>
      <c r="V94" s="4">
        <v>1.1</v>
      </c>
      <c r="W94" s="7">
        <f t="shared" si="49"/>
        <v>0</v>
      </c>
      <c r="X94" s="4">
        <f t="shared" si="50"/>
        <v>0</v>
      </c>
      <c r="Y94" s="4">
        <f t="shared" si="51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2"/>
        <v>0</v>
      </c>
      <c r="AE94" s="4">
        <f t="shared" si="53"/>
        <v>0</v>
      </c>
      <c r="AF94" s="7">
        <f t="shared" si="59"/>
        <v>0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8">W95/N95*(1+1.5)*(1+1.5)</f>
        <v>0</v>
      </c>
      <c r="P95" s="7">
        <f t="shared" si="67"/>
        <v>0</v>
      </c>
      <c r="Q95" s="7">
        <f t="shared" si="56"/>
        <v>0</v>
      </c>
      <c r="R95" s="7">
        <f t="shared" si="58"/>
        <v>0</v>
      </c>
      <c r="S95" s="7">
        <f t="shared" si="61"/>
        <v>0</v>
      </c>
      <c r="T95" s="7">
        <f t="shared" si="64"/>
        <v>0</v>
      </c>
      <c r="U95" s="7">
        <f t="shared" si="63"/>
        <v>0</v>
      </c>
      <c r="V95" s="4">
        <v>1.1</v>
      </c>
      <c r="W95" s="7">
        <f t="shared" si="49"/>
        <v>0</v>
      </c>
      <c r="X95" s="4">
        <f t="shared" si="50"/>
        <v>0</v>
      </c>
      <c r="Y95" s="4">
        <f t="shared" si="51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2"/>
        <v>0</v>
      </c>
      <c r="AE95" s="4">
        <f t="shared" si="53"/>
        <v>0</v>
      </c>
      <c r="AF95" s="7">
        <f t="shared" si="59"/>
        <v>0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8"/>
        <v>0</v>
      </c>
      <c r="P96" s="7">
        <f t="shared" si="67"/>
        <v>0</v>
      </c>
      <c r="Q96" s="7">
        <f t="shared" si="56"/>
        <v>0</v>
      </c>
      <c r="R96" s="7">
        <f t="shared" si="58"/>
        <v>0</v>
      </c>
      <c r="S96" s="7">
        <f t="shared" si="61"/>
        <v>0</v>
      </c>
      <c r="T96" s="7">
        <f t="shared" si="64"/>
        <v>0</v>
      </c>
      <c r="U96" s="7">
        <f t="shared" si="63"/>
        <v>0</v>
      </c>
      <c r="V96" s="4">
        <v>1.1</v>
      </c>
      <c r="W96" s="7">
        <f t="shared" si="49"/>
        <v>0</v>
      </c>
      <c r="X96" s="4">
        <f t="shared" si="50"/>
        <v>0</v>
      </c>
      <c r="Y96" s="4">
        <f t="shared" si="51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2"/>
        <v>0</v>
      </c>
      <c r="AE96" s="4">
        <f t="shared" si="53"/>
        <v>0</v>
      </c>
      <c r="AF96" s="7">
        <f t="shared" si="59"/>
        <v>0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8"/>
        <v>0</v>
      </c>
      <c r="P97" s="7">
        <f t="shared" ref="P97:P108" si="69">W97/N97*(1+2)*(1+2)</f>
        <v>0</v>
      </c>
      <c r="Q97" s="7">
        <f t="shared" si="56"/>
        <v>0</v>
      </c>
      <c r="R97" s="7">
        <f t="shared" si="58"/>
        <v>0</v>
      </c>
      <c r="S97" s="7">
        <f t="shared" si="61"/>
        <v>0</v>
      </c>
      <c r="T97" s="7">
        <f t="shared" si="64"/>
        <v>0</v>
      </c>
      <c r="U97" s="7">
        <f t="shared" si="63"/>
        <v>0</v>
      </c>
      <c r="V97" s="4">
        <v>1.1</v>
      </c>
      <c r="W97" s="7">
        <f t="shared" si="49"/>
        <v>0</v>
      </c>
      <c r="X97" s="4">
        <f t="shared" si="50"/>
        <v>0</v>
      </c>
      <c r="Y97" s="4">
        <f t="shared" si="51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2"/>
        <v>0</v>
      </c>
      <c r="AE97" s="4">
        <f t="shared" si="53"/>
        <v>0</v>
      </c>
      <c r="AF97" s="7">
        <f t="shared" si="59"/>
        <v>0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8"/>
        <v>0</v>
      </c>
      <c r="P98" s="7">
        <f t="shared" si="69"/>
        <v>0</v>
      </c>
      <c r="Q98" s="7">
        <f t="shared" si="56"/>
        <v>0</v>
      </c>
      <c r="R98" s="7">
        <f t="shared" si="58"/>
        <v>0</v>
      </c>
      <c r="S98" s="7">
        <f t="shared" si="61"/>
        <v>0</v>
      </c>
      <c r="T98" s="7">
        <f t="shared" si="64"/>
        <v>0</v>
      </c>
      <c r="U98" s="7">
        <f t="shared" si="63"/>
        <v>0</v>
      </c>
      <c r="V98" s="4">
        <v>1.2</v>
      </c>
      <c r="W98" s="7">
        <f t="shared" si="49"/>
        <v>0</v>
      </c>
      <c r="X98" s="4">
        <f t="shared" si="50"/>
        <v>0</v>
      </c>
      <c r="Y98" s="4">
        <f t="shared" si="51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2"/>
        <v>0</v>
      </c>
      <c r="AE98" s="4">
        <f t="shared" si="53"/>
        <v>0</v>
      </c>
      <c r="AF98" s="7">
        <f t="shared" si="59"/>
        <v>0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69"/>
        <v>0</v>
      </c>
      <c r="Q99" s="7">
        <f t="shared" si="56"/>
        <v>0</v>
      </c>
      <c r="R99" s="7">
        <f t="shared" si="58"/>
        <v>0</v>
      </c>
      <c r="S99" s="7">
        <f t="shared" si="61"/>
        <v>0</v>
      </c>
      <c r="T99" s="7">
        <f t="shared" si="64"/>
        <v>0</v>
      </c>
      <c r="U99" s="7">
        <f t="shared" si="63"/>
        <v>0</v>
      </c>
      <c r="V99" s="4">
        <v>1.2</v>
      </c>
      <c r="W99" s="7">
        <f t="shared" si="49"/>
        <v>0</v>
      </c>
      <c r="X99" s="4">
        <f t="shared" si="50"/>
        <v>0</v>
      </c>
      <c r="Y99" s="4">
        <f t="shared" si="51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2"/>
        <v>0</v>
      </c>
      <c r="AE99" s="4">
        <f t="shared" si="53"/>
        <v>0</v>
      </c>
      <c r="AF99" s="7">
        <f t="shared" si="59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69"/>
        <v>0</v>
      </c>
      <c r="Q100" s="7">
        <f t="shared" si="56"/>
        <v>0</v>
      </c>
      <c r="R100" s="7">
        <f t="shared" si="58"/>
        <v>0</v>
      </c>
      <c r="S100" s="7">
        <f t="shared" si="61"/>
        <v>0</v>
      </c>
      <c r="T100" s="7">
        <f t="shared" si="64"/>
        <v>0</v>
      </c>
      <c r="U100" s="7">
        <f t="shared" si="63"/>
        <v>0</v>
      </c>
      <c r="V100" s="4">
        <v>1.2</v>
      </c>
      <c r="W100" s="7">
        <f t="shared" si="49"/>
        <v>0</v>
      </c>
      <c r="X100" s="4">
        <f t="shared" si="50"/>
        <v>0</v>
      </c>
      <c r="Y100" s="4">
        <f t="shared" si="51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2"/>
        <v>0</v>
      </c>
      <c r="AE100" s="4">
        <f t="shared" si="53"/>
        <v>0</v>
      </c>
      <c r="AF100" s="7">
        <f t="shared" si="59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69"/>
        <v>0</v>
      </c>
      <c r="Q101" s="7">
        <f t="shared" si="56"/>
        <v>0</v>
      </c>
      <c r="R101" s="7">
        <f t="shared" si="58"/>
        <v>0</v>
      </c>
      <c r="S101" s="7">
        <f t="shared" si="61"/>
        <v>0</v>
      </c>
      <c r="T101" s="7">
        <f t="shared" si="64"/>
        <v>0</v>
      </c>
      <c r="U101" s="7">
        <f t="shared" si="63"/>
        <v>0</v>
      </c>
      <c r="V101" s="4">
        <v>1.2</v>
      </c>
      <c r="W101" s="7">
        <f t="shared" si="49"/>
        <v>0</v>
      </c>
      <c r="X101" s="4">
        <f t="shared" si="50"/>
        <v>0</v>
      </c>
      <c r="Y101" s="4">
        <f t="shared" si="51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2"/>
        <v>0</v>
      </c>
      <c r="AE101" s="4">
        <f t="shared" si="53"/>
        <v>0</v>
      </c>
      <c r="AF101" s="7">
        <f t="shared" si="59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69"/>
        <v>0</v>
      </c>
      <c r="Q102" s="7">
        <f t="shared" si="56"/>
        <v>0</v>
      </c>
      <c r="R102" s="7">
        <f t="shared" si="58"/>
        <v>0</v>
      </c>
      <c r="S102" s="7">
        <f t="shared" si="61"/>
        <v>0</v>
      </c>
      <c r="T102" s="7">
        <f t="shared" si="64"/>
        <v>0</v>
      </c>
      <c r="U102" s="7">
        <f t="shared" si="63"/>
        <v>0</v>
      </c>
      <c r="V102" s="4">
        <v>1.2</v>
      </c>
      <c r="W102" s="7">
        <f t="shared" si="49"/>
        <v>0</v>
      </c>
      <c r="X102" s="4">
        <f t="shared" si="50"/>
        <v>0</v>
      </c>
      <c r="Y102" s="4">
        <f t="shared" si="51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2"/>
        <v>0</v>
      </c>
      <c r="AE102" s="4">
        <f t="shared" si="53"/>
        <v>0</v>
      </c>
      <c r="AF102" s="7">
        <f t="shared" si="59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69"/>
        <v>0</v>
      </c>
      <c r="Q103" s="7">
        <f t="shared" si="56"/>
        <v>0</v>
      </c>
      <c r="R103" s="7">
        <f t="shared" si="58"/>
        <v>0</v>
      </c>
      <c r="S103" s="7">
        <f t="shared" si="61"/>
        <v>0</v>
      </c>
      <c r="T103" s="7">
        <f t="shared" si="64"/>
        <v>0</v>
      </c>
      <c r="U103" s="7">
        <f t="shared" si="63"/>
        <v>0</v>
      </c>
      <c r="V103" s="4">
        <v>1.3</v>
      </c>
      <c r="W103" s="7">
        <f t="shared" si="49"/>
        <v>0</v>
      </c>
      <c r="X103" s="4">
        <f t="shared" si="50"/>
        <v>0</v>
      </c>
      <c r="Y103" s="4">
        <f t="shared" si="51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2"/>
        <v>0</v>
      </c>
      <c r="AE103" s="4">
        <f t="shared" si="53"/>
        <v>0</v>
      </c>
      <c r="AF103" s="7">
        <f t="shared" si="59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69"/>
        <v>0</v>
      </c>
      <c r="Q104" s="7">
        <f t="shared" si="56"/>
        <v>0</v>
      </c>
      <c r="R104" s="7">
        <f t="shared" si="58"/>
        <v>0</v>
      </c>
      <c r="S104" s="7">
        <f t="shared" si="61"/>
        <v>0</v>
      </c>
      <c r="T104" s="7">
        <f t="shared" si="64"/>
        <v>0</v>
      </c>
      <c r="U104" s="7">
        <f t="shared" si="63"/>
        <v>0</v>
      </c>
      <c r="V104" s="4">
        <v>1.3</v>
      </c>
      <c r="W104" s="7">
        <f t="shared" si="49"/>
        <v>0</v>
      </c>
      <c r="X104" s="4">
        <f t="shared" si="50"/>
        <v>0</v>
      </c>
      <c r="Y104" s="4">
        <f t="shared" si="51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2"/>
        <v>0</v>
      </c>
      <c r="AE104" s="4">
        <f t="shared" si="53"/>
        <v>0</v>
      </c>
      <c r="AF104" s="7">
        <f t="shared" si="59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69"/>
        <v>0</v>
      </c>
      <c r="Q105" s="7">
        <f t="shared" si="56"/>
        <v>0</v>
      </c>
      <c r="R105" s="7">
        <f t="shared" si="58"/>
        <v>0</v>
      </c>
      <c r="S105" s="7">
        <f t="shared" si="61"/>
        <v>0</v>
      </c>
      <c r="T105" s="7">
        <f t="shared" si="64"/>
        <v>0</v>
      </c>
      <c r="U105" s="7">
        <f t="shared" si="63"/>
        <v>0</v>
      </c>
      <c r="V105" s="4">
        <v>1.3</v>
      </c>
      <c r="W105" s="7">
        <f t="shared" si="49"/>
        <v>0</v>
      </c>
      <c r="X105" s="4">
        <f t="shared" si="50"/>
        <v>0</v>
      </c>
      <c r="Y105" s="4">
        <f t="shared" si="51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2"/>
        <v>0</v>
      </c>
      <c r="AE105" s="4">
        <f t="shared" si="53"/>
        <v>0</v>
      </c>
      <c r="AF105" s="7">
        <f t="shared" si="59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69"/>
        <v>0</v>
      </c>
      <c r="Q106" s="7">
        <f t="shared" si="56"/>
        <v>0</v>
      </c>
      <c r="R106" s="7">
        <f t="shared" si="58"/>
        <v>0</v>
      </c>
      <c r="S106" s="7">
        <f t="shared" si="61"/>
        <v>0</v>
      </c>
      <c r="T106" s="7">
        <f t="shared" si="64"/>
        <v>0</v>
      </c>
      <c r="U106" s="7">
        <f t="shared" si="63"/>
        <v>0</v>
      </c>
      <c r="V106" s="4">
        <v>1.3</v>
      </c>
      <c r="W106" s="7">
        <f t="shared" si="49"/>
        <v>0</v>
      </c>
      <c r="X106" s="4">
        <f t="shared" si="50"/>
        <v>0</v>
      </c>
      <c r="Y106" s="4">
        <f t="shared" si="51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2"/>
        <v>0</v>
      </c>
      <c r="AE106" s="4">
        <f t="shared" si="53"/>
        <v>0</v>
      </c>
      <c r="AF106" s="7">
        <f t="shared" si="59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69"/>
        <v>0</v>
      </c>
      <c r="Q107" s="7">
        <f t="shared" si="56"/>
        <v>0</v>
      </c>
      <c r="R107" s="7">
        <f t="shared" si="58"/>
        <v>0</v>
      </c>
      <c r="S107" s="7">
        <f t="shared" si="61"/>
        <v>0</v>
      </c>
      <c r="T107" s="7">
        <f t="shared" si="64"/>
        <v>0</v>
      </c>
      <c r="U107" s="7">
        <f t="shared" si="63"/>
        <v>0</v>
      </c>
      <c r="V107" s="4">
        <v>1.3</v>
      </c>
      <c r="W107" s="7">
        <f t="shared" si="49"/>
        <v>0</v>
      </c>
      <c r="X107" s="4">
        <f t="shared" si="50"/>
        <v>0</v>
      </c>
      <c r="Y107" s="4">
        <f t="shared" si="51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2"/>
        <v>0</v>
      </c>
      <c r="AE107" s="4">
        <f t="shared" si="53"/>
        <v>0</v>
      </c>
      <c r="AF107" s="7">
        <f t="shared" si="59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69"/>
        <v>0</v>
      </c>
      <c r="Q108" s="7">
        <f t="shared" si="56"/>
        <v>0</v>
      </c>
      <c r="R108" s="7">
        <f t="shared" si="58"/>
        <v>0</v>
      </c>
      <c r="S108" s="7">
        <f t="shared" si="61"/>
        <v>0</v>
      </c>
      <c r="T108" s="7">
        <f t="shared" si="64"/>
        <v>0</v>
      </c>
      <c r="U108" s="7">
        <f t="shared" si="63"/>
        <v>0</v>
      </c>
      <c r="V108" s="4">
        <v>1.4</v>
      </c>
      <c r="W108" s="7">
        <f t="shared" si="49"/>
        <v>0</v>
      </c>
      <c r="X108" s="4">
        <f t="shared" si="50"/>
        <v>0</v>
      </c>
      <c r="Y108" s="4">
        <f t="shared" si="51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2"/>
        <v>0</v>
      </c>
      <c r="AE108" s="4">
        <f t="shared" si="53"/>
        <v>0</v>
      </c>
      <c r="AF108" s="7">
        <f t="shared" si="59"/>
        <v>0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701</v>
      </c>
      <c r="Y1" s="7">
        <v>3</v>
      </c>
      <c r="Z1" s="4">
        <v>702</v>
      </c>
      <c r="AA1" s="7">
        <v>703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701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701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705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701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701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706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701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701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701</v>
      </c>
      <c r="J5" s="7">
        <v>10</v>
      </c>
      <c r="K5" s="7">
        <f>IF(H5=1,"",INDEX($X$1:$X$3,MATCH(H5,$V$1:$V$3,0)))</f>
        <v>705</v>
      </c>
      <c r="L5" s="7">
        <f t="shared" si="4"/>
        <v>5</v>
      </c>
      <c r="M5" s="7"/>
      <c r="N5" s="7">
        <f>IF(A5&lt;5,$X$1,IF(A5&gt;10,$AA$1,$Z$1))</f>
        <v>701</v>
      </c>
      <c r="O5" s="7">
        <v>10</v>
      </c>
      <c r="P5" s="7">
        <f>IF(H5=1,"",INDEX($X$1:$X$3,MATCH(H5,$V$1:$V$3,0)))</f>
        <v>705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702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702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702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702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702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702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702</v>
      </c>
      <c r="J9" s="7">
        <v>10</v>
      </c>
      <c r="K9" s="7">
        <f>IF(H9=1,"",INDEX($X$1:$X$3,MATCH(H9,$V$1:$V$3,0)))</f>
        <v>705</v>
      </c>
      <c r="L9" s="7">
        <f t="shared" si="4"/>
        <v>5</v>
      </c>
      <c r="M9" s="7"/>
      <c r="N9" s="7">
        <f>IF(A9&lt;5,$X$1,IF(A9&gt;10,$AA$1,$Z$1))</f>
        <v>702</v>
      </c>
      <c r="O9" s="7">
        <v>10</v>
      </c>
      <c r="P9" s="7">
        <f>IF(H9=1,"",INDEX($X$1:$X$3,MATCH(H9,$V$1:$V$3,0)))</f>
        <v>705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702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702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702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702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703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703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703</v>
      </c>
      <c r="J13" s="7">
        <v>15</v>
      </c>
      <c r="K13" s="7">
        <f>IF(H13=1,"",INDEX($X$1:$X$3,MATCH(H13,$V$1:$V$3,0)))</f>
        <v>706</v>
      </c>
      <c r="L13" s="7">
        <f t="shared" si="4"/>
        <v>1</v>
      </c>
      <c r="M13" s="7"/>
      <c r="N13" s="7">
        <f>IF(A13&lt;5,$X$1,IF(A13&gt;10,$AA$1,$Z$1))</f>
        <v>703</v>
      </c>
      <c r="O13" s="7">
        <v>15</v>
      </c>
      <c r="P13" s="7">
        <f>IF(H13=1,"",INDEX($X$1:$X$3,MATCH(H13,$V$1:$V$3,0)))</f>
        <v>706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701,10</v>
      </c>
      <c r="J40" s="7" t="str">
        <f t="shared" ref="J40:J69" si="13">IF(I40="","",_xlfn.TEXTJOIN(",",TRUE,I40,H40))</f>
        <v>701,10,1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701,10,1</v>
      </c>
      <c r="N40" s="7" t="str">
        <f t="shared" si="12"/>
        <v>701,10</v>
      </c>
      <c r="O40" s="7" t="str">
        <f t="shared" ref="O40:O69" si="16">IF(N40="","",N40&amp;","&amp;H40)</f>
        <v>701,10,1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701,10,1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701,10</v>
      </c>
      <c r="J41" s="7" t="str">
        <f t="shared" si="13"/>
        <v>701,10,2</v>
      </c>
      <c r="K41" s="7" t="str">
        <f t="shared" si="20"/>
        <v/>
      </c>
      <c r="L41" s="7" t="str">
        <f t="shared" si="14"/>
        <v/>
      </c>
      <c r="M41" s="7" t="str">
        <f t="shared" si="15"/>
        <v>701,10,2</v>
      </c>
      <c r="N41" s="7" t="str">
        <f t="shared" si="20"/>
        <v>701,10</v>
      </c>
      <c r="O41" s="7" t="str">
        <f t="shared" si="16"/>
        <v>701,10,2</v>
      </c>
      <c r="P41" s="7" t="str">
        <f t="shared" si="17"/>
        <v/>
      </c>
      <c r="Q41" s="7" t="str">
        <f t="shared" si="18"/>
        <v/>
      </c>
      <c r="R41" s="7" t="str">
        <f t="shared" si="19"/>
        <v>701,10,2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701,10</v>
      </c>
      <c r="J42" s="7" t="str">
        <f t="shared" si="13"/>
        <v>701,10,3</v>
      </c>
      <c r="K42" s="7" t="str">
        <f t="shared" si="21"/>
        <v/>
      </c>
      <c r="L42" s="7" t="str">
        <f t="shared" si="14"/>
        <v/>
      </c>
      <c r="M42" s="7" t="str">
        <f t="shared" si="15"/>
        <v>701,10,3</v>
      </c>
      <c r="N42" s="7" t="str">
        <f t="shared" si="21"/>
        <v>701,10</v>
      </c>
      <c r="O42" s="7" t="str">
        <f t="shared" si="16"/>
        <v>701,10,3</v>
      </c>
      <c r="P42" s="7" t="str">
        <f t="shared" si="17"/>
        <v/>
      </c>
      <c r="Q42" s="7" t="str">
        <f t="shared" si="18"/>
        <v/>
      </c>
      <c r="R42" s="7" t="str">
        <f t="shared" si="19"/>
        <v>701,10,3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701,10</v>
      </c>
      <c r="J43" s="7" t="str">
        <f t="shared" si="13"/>
        <v>701,10,4</v>
      </c>
      <c r="K43" s="7" t="str">
        <f t="shared" si="22"/>
        <v>705,5</v>
      </c>
      <c r="L43" s="7" t="str">
        <f t="shared" si="14"/>
        <v>705,5,4</v>
      </c>
      <c r="M43" s="7" t="str">
        <f t="shared" si="15"/>
        <v>701,10,4;705,5,4</v>
      </c>
      <c r="N43" s="7" t="str">
        <f t="shared" si="22"/>
        <v>701,10</v>
      </c>
      <c r="O43" s="7" t="str">
        <f t="shared" si="16"/>
        <v>701,10,4</v>
      </c>
      <c r="P43" s="7" t="str">
        <f t="shared" si="17"/>
        <v>705,5</v>
      </c>
      <c r="Q43" s="7" t="str">
        <f t="shared" si="18"/>
        <v>705,5,4</v>
      </c>
      <c r="R43" s="7" t="str">
        <f t="shared" si="19"/>
        <v>701,10,4;705,5,4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702,10</v>
      </c>
      <c r="J44" s="7" t="str">
        <f t="shared" si="13"/>
        <v>702,10,5</v>
      </c>
      <c r="K44" s="7" t="str">
        <f t="shared" si="23"/>
        <v/>
      </c>
      <c r="L44" s="7" t="str">
        <f t="shared" si="14"/>
        <v/>
      </c>
      <c r="M44" s="7" t="str">
        <f t="shared" si="15"/>
        <v>702,10,5</v>
      </c>
      <c r="N44" s="7" t="str">
        <f t="shared" si="23"/>
        <v>702,10</v>
      </c>
      <c r="O44" s="7" t="str">
        <f t="shared" si="16"/>
        <v>702,10,5</v>
      </c>
      <c r="P44" s="7" t="str">
        <f t="shared" si="17"/>
        <v/>
      </c>
      <c r="Q44" s="7" t="str">
        <f t="shared" si="18"/>
        <v/>
      </c>
      <c r="R44" s="7" t="str">
        <f t="shared" si="19"/>
        <v>702,10,5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702,10</v>
      </c>
      <c r="J45" s="7" t="str">
        <f t="shared" si="13"/>
        <v>702,10,6</v>
      </c>
      <c r="K45" s="7" t="str">
        <f t="shared" si="24"/>
        <v/>
      </c>
      <c r="L45" s="7" t="str">
        <f t="shared" si="14"/>
        <v/>
      </c>
      <c r="M45" s="7" t="str">
        <f t="shared" si="15"/>
        <v>702,10,6</v>
      </c>
      <c r="N45" s="7" t="str">
        <f t="shared" si="24"/>
        <v>702,10</v>
      </c>
      <c r="O45" s="7" t="str">
        <f t="shared" si="16"/>
        <v>702,10,6</v>
      </c>
      <c r="P45" s="7" t="str">
        <f t="shared" si="17"/>
        <v/>
      </c>
      <c r="Q45" s="7" t="str">
        <f t="shared" si="18"/>
        <v/>
      </c>
      <c r="R45" s="7" t="str">
        <f t="shared" si="19"/>
        <v>702,10,6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702,10</v>
      </c>
      <c r="J46" s="7" t="str">
        <f t="shared" si="13"/>
        <v>702,10,7</v>
      </c>
      <c r="K46" s="7" t="str">
        <f t="shared" si="25"/>
        <v/>
      </c>
      <c r="L46" s="7" t="str">
        <f t="shared" si="14"/>
        <v/>
      </c>
      <c r="M46" s="7" t="str">
        <f t="shared" si="15"/>
        <v>702,10,7</v>
      </c>
      <c r="N46" s="7" t="str">
        <f t="shared" si="25"/>
        <v>702,10</v>
      </c>
      <c r="O46" s="7" t="str">
        <f t="shared" si="16"/>
        <v>702,10,7</v>
      </c>
      <c r="P46" s="7" t="str">
        <f t="shared" si="17"/>
        <v/>
      </c>
      <c r="Q46" s="7" t="str">
        <f t="shared" si="18"/>
        <v/>
      </c>
      <c r="R46" s="7" t="str">
        <f t="shared" si="19"/>
        <v>702,10,7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702,10</v>
      </c>
      <c r="J47" s="7" t="str">
        <f t="shared" si="13"/>
        <v>702,10,8</v>
      </c>
      <c r="K47" s="7" t="str">
        <f t="shared" si="26"/>
        <v>705,5</v>
      </c>
      <c r="L47" s="7" t="str">
        <f t="shared" si="14"/>
        <v>705,5,8</v>
      </c>
      <c r="M47" s="7" t="str">
        <f t="shared" si="15"/>
        <v>702,10,8;705,5,8</v>
      </c>
      <c r="N47" s="7" t="str">
        <f t="shared" si="26"/>
        <v>702,10</v>
      </c>
      <c r="O47" s="7" t="str">
        <f t="shared" si="16"/>
        <v>702,10,8</v>
      </c>
      <c r="P47" s="7" t="str">
        <f t="shared" si="17"/>
        <v>705,5</v>
      </c>
      <c r="Q47" s="7" t="str">
        <f t="shared" si="18"/>
        <v>705,5,8</v>
      </c>
      <c r="R47" s="7" t="str">
        <f t="shared" si="19"/>
        <v>702,10,8;705,5,8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702,15</v>
      </c>
      <c r="J48" s="7" t="str">
        <f t="shared" si="13"/>
        <v>702,15,9</v>
      </c>
      <c r="K48" s="7" t="str">
        <f t="shared" si="27"/>
        <v/>
      </c>
      <c r="L48" s="7" t="str">
        <f t="shared" si="14"/>
        <v/>
      </c>
      <c r="M48" s="7" t="str">
        <f t="shared" si="15"/>
        <v>702,15,9</v>
      </c>
      <c r="N48" s="7" t="str">
        <f t="shared" si="27"/>
        <v>702,15</v>
      </c>
      <c r="O48" s="7" t="str">
        <f t="shared" si="16"/>
        <v>702,15,9</v>
      </c>
      <c r="P48" s="7" t="str">
        <f t="shared" si="17"/>
        <v/>
      </c>
      <c r="Q48" s="7" t="str">
        <f t="shared" si="18"/>
        <v/>
      </c>
      <c r="R48" s="7" t="str">
        <f t="shared" si="19"/>
        <v>702,15,9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702,15</v>
      </c>
      <c r="J49" s="7" t="str">
        <f t="shared" si="13"/>
        <v>702,15,10</v>
      </c>
      <c r="K49" s="7" t="str">
        <f t="shared" si="28"/>
        <v/>
      </c>
      <c r="L49" s="7" t="str">
        <f t="shared" si="14"/>
        <v/>
      </c>
      <c r="M49" s="7" t="str">
        <f t="shared" si="15"/>
        <v>702,15,10</v>
      </c>
      <c r="N49" s="7" t="str">
        <f t="shared" si="28"/>
        <v>702,15</v>
      </c>
      <c r="O49" s="7" t="str">
        <f t="shared" si="16"/>
        <v>702,15,10</v>
      </c>
      <c r="P49" s="7" t="str">
        <f t="shared" si="17"/>
        <v/>
      </c>
      <c r="Q49" s="7" t="str">
        <f t="shared" si="18"/>
        <v/>
      </c>
      <c r="R49" s="7" t="str">
        <f t="shared" si="19"/>
        <v>702,15,10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703,15</v>
      </c>
      <c r="J50" s="7" t="str">
        <f t="shared" si="13"/>
        <v>703,15,11</v>
      </c>
      <c r="K50" s="7" t="str">
        <f t="shared" si="29"/>
        <v/>
      </c>
      <c r="L50" s="7" t="str">
        <f t="shared" si="14"/>
        <v/>
      </c>
      <c r="M50" s="7" t="str">
        <f t="shared" si="15"/>
        <v>703,15,11</v>
      </c>
      <c r="N50" s="7" t="str">
        <f t="shared" si="29"/>
        <v>703,15</v>
      </c>
      <c r="O50" s="7" t="str">
        <f t="shared" si="16"/>
        <v>703,15,11</v>
      </c>
      <c r="P50" s="7" t="str">
        <f t="shared" si="17"/>
        <v/>
      </c>
      <c r="Q50" s="7" t="str">
        <f t="shared" si="18"/>
        <v/>
      </c>
      <c r="R50" s="7" t="str">
        <f t="shared" si="19"/>
        <v>703,15,11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703,15</v>
      </c>
      <c r="J51" s="7" t="str">
        <f t="shared" si="13"/>
        <v>703,15,12</v>
      </c>
      <c r="K51" s="7" t="str">
        <f t="shared" si="30"/>
        <v>706,1</v>
      </c>
      <c r="L51" s="7" t="str">
        <f t="shared" si="14"/>
        <v>706,1,12</v>
      </c>
      <c r="M51" s="7" t="str">
        <f t="shared" si="15"/>
        <v>703,15,12;706,1,12</v>
      </c>
      <c r="N51" s="7" t="str">
        <f t="shared" si="30"/>
        <v>703,15</v>
      </c>
      <c r="O51" s="7" t="str">
        <f t="shared" si="16"/>
        <v>703,15,12</v>
      </c>
      <c r="P51" s="7" t="str">
        <f t="shared" si="17"/>
        <v>706,1</v>
      </c>
      <c r="Q51" s="7" t="str">
        <f t="shared" si="18"/>
        <v>706,1,12</v>
      </c>
      <c r="R51" s="7" t="str">
        <f t="shared" si="19"/>
        <v>703,15,12;706,1,12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701,10,1|701,10,2|701,10,3|701,10,4;705,5,4|702,10,5|702,10,6|702,10,7|702,10,8;705,5,8|702,15,9|702,15,10|703,15,11|703,15,12;706,1,12</v>
      </c>
      <c r="N71" s="7"/>
      <c r="O71" s="7"/>
      <c r="P71" s="7"/>
      <c r="Q71" s="7"/>
      <c r="R71" s="15" t="str">
        <f>_xlfn.TEXTJOIN("|",TRUE,R40:R69)</f>
        <v>701,10,1|701,10,2|701,10,3|701,10,4;705,5,4|702,10,5|702,10,6|702,10,7|702,10,8;705,5,8|702,15,9|702,15,10|703,15,11|703,15,12;706,1,12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801</v>
      </c>
      <c r="Y1" s="7">
        <v>3</v>
      </c>
      <c r="Z1" s="4">
        <v>802</v>
      </c>
      <c r="AA1" s="7">
        <v>803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801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801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805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801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801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806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801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801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801</v>
      </c>
      <c r="J5" s="7">
        <v>10</v>
      </c>
      <c r="K5" s="7">
        <f>IF(H5=1,"",INDEX($X$1:$X$3,MATCH(H5,$V$1:$V$3,0)))</f>
        <v>805</v>
      </c>
      <c r="L5" s="7">
        <f t="shared" si="4"/>
        <v>5</v>
      </c>
      <c r="M5" s="7"/>
      <c r="N5" s="7">
        <f>IF(A5&lt;5,$X$1,IF(A5&gt;10,$AA$1,$Z$1))</f>
        <v>801</v>
      </c>
      <c r="O5" s="7">
        <v>10</v>
      </c>
      <c r="P5" s="7">
        <f>IF(H5=1,"",INDEX($X$1:$X$3,MATCH(H5,$V$1:$V$3,0)))</f>
        <v>805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802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802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802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802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802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802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802</v>
      </c>
      <c r="J9" s="7">
        <v>10</v>
      </c>
      <c r="K9" s="7">
        <f>IF(H9=1,"",INDEX($X$1:$X$3,MATCH(H9,$V$1:$V$3,0)))</f>
        <v>805</v>
      </c>
      <c r="L9" s="7">
        <f t="shared" si="4"/>
        <v>5</v>
      </c>
      <c r="M9" s="7"/>
      <c r="N9" s="7">
        <f>IF(A9&lt;5,$X$1,IF(A9&gt;10,$AA$1,$Z$1))</f>
        <v>802</v>
      </c>
      <c r="O9" s="7">
        <v>10</v>
      </c>
      <c r="P9" s="7">
        <f>IF(H9=1,"",INDEX($X$1:$X$3,MATCH(H9,$V$1:$V$3,0)))</f>
        <v>805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802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802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802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802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803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803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803</v>
      </c>
      <c r="J13" s="7">
        <v>15</v>
      </c>
      <c r="K13" s="7">
        <f>IF(H13=1,"",INDEX($X$1:$X$3,MATCH(H13,$V$1:$V$3,0)))</f>
        <v>806</v>
      </c>
      <c r="L13" s="7">
        <f t="shared" si="4"/>
        <v>1</v>
      </c>
      <c r="M13" s="7"/>
      <c r="N13" s="7">
        <f>IF(A13&lt;5,$X$1,IF(A13&gt;10,$AA$1,$Z$1))</f>
        <v>803</v>
      </c>
      <c r="O13" s="7">
        <v>15</v>
      </c>
      <c r="P13" s="7">
        <f>IF(H13=1,"",INDEX($X$1:$X$3,MATCH(H13,$V$1:$V$3,0)))</f>
        <v>806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801,10</v>
      </c>
      <c r="J40" s="7" t="str">
        <f t="shared" ref="J40:J69" si="13">IF(I40="","",_xlfn.TEXTJOIN(",",TRUE,I40,H40))</f>
        <v>801,10,1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801,10,1</v>
      </c>
      <c r="N40" s="7" t="str">
        <f t="shared" si="12"/>
        <v>801,10</v>
      </c>
      <c r="O40" s="7" t="str">
        <f t="shared" ref="O40:O69" si="16">IF(N40="","",N40&amp;","&amp;H40)</f>
        <v>801,10,1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801,10,1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801,10</v>
      </c>
      <c r="J41" s="7" t="str">
        <f t="shared" si="13"/>
        <v>801,10,2</v>
      </c>
      <c r="K41" s="7" t="str">
        <f t="shared" si="20"/>
        <v/>
      </c>
      <c r="L41" s="7" t="str">
        <f t="shared" si="14"/>
        <v/>
      </c>
      <c r="M41" s="7" t="str">
        <f t="shared" si="15"/>
        <v>801,10,2</v>
      </c>
      <c r="N41" s="7" t="str">
        <f t="shared" si="20"/>
        <v>801,10</v>
      </c>
      <c r="O41" s="7" t="str">
        <f t="shared" si="16"/>
        <v>801,10,2</v>
      </c>
      <c r="P41" s="7" t="str">
        <f t="shared" si="17"/>
        <v/>
      </c>
      <c r="Q41" s="7" t="str">
        <f t="shared" si="18"/>
        <v/>
      </c>
      <c r="R41" s="7" t="str">
        <f t="shared" si="19"/>
        <v>801,10,2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801,10</v>
      </c>
      <c r="J42" s="7" t="str">
        <f t="shared" si="13"/>
        <v>801,10,3</v>
      </c>
      <c r="K42" s="7" t="str">
        <f t="shared" si="21"/>
        <v/>
      </c>
      <c r="L42" s="7" t="str">
        <f t="shared" si="14"/>
        <v/>
      </c>
      <c r="M42" s="7" t="str">
        <f t="shared" si="15"/>
        <v>801,10,3</v>
      </c>
      <c r="N42" s="7" t="str">
        <f t="shared" si="21"/>
        <v>801,10</v>
      </c>
      <c r="O42" s="7" t="str">
        <f t="shared" si="16"/>
        <v>801,10,3</v>
      </c>
      <c r="P42" s="7" t="str">
        <f t="shared" si="17"/>
        <v/>
      </c>
      <c r="Q42" s="7" t="str">
        <f t="shared" si="18"/>
        <v/>
      </c>
      <c r="R42" s="7" t="str">
        <f t="shared" si="19"/>
        <v>801,10,3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801,10</v>
      </c>
      <c r="J43" s="7" t="str">
        <f t="shared" si="13"/>
        <v>801,10,4</v>
      </c>
      <c r="K43" s="7" t="str">
        <f t="shared" si="22"/>
        <v>805,5</v>
      </c>
      <c r="L43" s="7" t="str">
        <f t="shared" si="14"/>
        <v>805,5,4</v>
      </c>
      <c r="M43" s="7" t="str">
        <f t="shared" si="15"/>
        <v>801,10,4;805,5,4</v>
      </c>
      <c r="N43" s="7" t="str">
        <f t="shared" si="22"/>
        <v>801,10</v>
      </c>
      <c r="O43" s="7" t="str">
        <f t="shared" si="16"/>
        <v>801,10,4</v>
      </c>
      <c r="P43" s="7" t="str">
        <f t="shared" si="17"/>
        <v>805,5</v>
      </c>
      <c r="Q43" s="7" t="str">
        <f t="shared" si="18"/>
        <v>805,5,4</v>
      </c>
      <c r="R43" s="7" t="str">
        <f t="shared" si="19"/>
        <v>801,10,4;805,5,4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802,10</v>
      </c>
      <c r="J44" s="7" t="str">
        <f t="shared" si="13"/>
        <v>802,10,5</v>
      </c>
      <c r="K44" s="7" t="str">
        <f t="shared" si="23"/>
        <v/>
      </c>
      <c r="L44" s="7" t="str">
        <f t="shared" si="14"/>
        <v/>
      </c>
      <c r="M44" s="7" t="str">
        <f t="shared" si="15"/>
        <v>802,10,5</v>
      </c>
      <c r="N44" s="7" t="str">
        <f t="shared" si="23"/>
        <v>802,10</v>
      </c>
      <c r="O44" s="7" t="str">
        <f t="shared" si="16"/>
        <v>802,10,5</v>
      </c>
      <c r="P44" s="7" t="str">
        <f t="shared" si="17"/>
        <v/>
      </c>
      <c r="Q44" s="7" t="str">
        <f t="shared" si="18"/>
        <v/>
      </c>
      <c r="R44" s="7" t="str">
        <f t="shared" si="19"/>
        <v>802,10,5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802,10</v>
      </c>
      <c r="J45" s="7" t="str">
        <f t="shared" si="13"/>
        <v>802,10,6</v>
      </c>
      <c r="K45" s="7" t="str">
        <f t="shared" si="24"/>
        <v/>
      </c>
      <c r="L45" s="7" t="str">
        <f t="shared" si="14"/>
        <v/>
      </c>
      <c r="M45" s="7" t="str">
        <f t="shared" si="15"/>
        <v>802,10,6</v>
      </c>
      <c r="N45" s="7" t="str">
        <f t="shared" si="24"/>
        <v>802,10</v>
      </c>
      <c r="O45" s="7" t="str">
        <f t="shared" si="16"/>
        <v>802,10,6</v>
      </c>
      <c r="P45" s="7" t="str">
        <f t="shared" si="17"/>
        <v/>
      </c>
      <c r="Q45" s="7" t="str">
        <f t="shared" si="18"/>
        <v/>
      </c>
      <c r="R45" s="7" t="str">
        <f t="shared" si="19"/>
        <v>802,10,6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802,10</v>
      </c>
      <c r="J46" s="7" t="str">
        <f t="shared" si="13"/>
        <v>802,10,7</v>
      </c>
      <c r="K46" s="7" t="str">
        <f t="shared" si="25"/>
        <v/>
      </c>
      <c r="L46" s="7" t="str">
        <f t="shared" si="14"/>
        <v/>
      </c>
      <c r="M46" s="7" t="str">
        <f t="shared" si="15"/>
        <v>802,10,7</v>
      </c>
      <c r="N46" s="7" t="str">
        <f t="shared" si="25"/>
        <v>802,10</v>
      </c>
      <c r="O46" s="7" t="str">
        <f t="shared" si="16"/>
        <v>802,10,7</v>
      </c>
      <c r="P46" s="7" t="str">
        <f t="shared" si="17"/>
        <v/>
      </c>
      <c r="Q46" s="7" t="str">
        <f t="shared" si="18"/>
        <v/>
      </c>
      <c r="R46" s="7" t="str">
        <f t="shared" si="19"/>
        <v>802,10,7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802,10</v>
      </c>
      <c r="J47" s="7" t="str">
        <f t="shared" si="13"/>
        <v>802,10,8</v>
      </c>
      <c r="K47" s="7" t="str">
        <f t="shared" si="26"/>
        <v>805,5</v>
      </c>
      <c r="L47" s="7" t="str">
        <f t="shared" si="14"/>
        <v>805,5,8</v>
      </c>
      <c r="M47" s="7" t="str">
        <f t="shared" si="15"/>
        <v>802,10,8;805,5,8</v>
      </c>
      <c r="N47" s="7" t="str">
        <f t="shared" si="26"/>
        <v>802,10</v>
      </c>
      <c r="O47" s="7" t="str">
        <f t="shared" si="16"/>
        <v>802,10,8</v>
      </c>
      <c r="P47" s="7" t="str">
        <f t="shared" si="17"/>
        <v>805,5</v>
      </c>
      <c r="Q47" s="7" t="str">
        <f t="shared" si="18"/>
        <v>805,5,8</v>
      </c>
      <c r="R47" s="7" t="str">
        <f t="shared" si="19"/>
        <v>802,10,8;805,5,8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802,15</v>
      </c>
      <c r="J48" s="7" t="str">
        <f t="shared" si="13"/>
        <v>802,15,9</v>
      </c>
      <c r="K48" s="7" t="str">
        <f t="shared" si="27"/>
        <v/>
      </c>
      <c r="L48" s="7" t="str">
        <f t="shared" si="14"/>
        <v/>
      </c>
      <c r="M48" s="7" t="str">
        <f t="shared" si="15"/>
        <v>802,15,9</v>
      </c>
      <c r="N48" s="7" t="str">
        <f t="shared" si="27"/>
        <v>802,15</v>
      </c>
      <c r="O48" s="7" t="str">
        <f t="shared" si="16"/>
        <v>802,15,9</v>
      </c>
      <c r="P48" s="7" t="str">
        <f t="shared" si="17"/>
        <v/>
      </c>
      <c r="Q48" s="7" t="str">
        <f t="shared" si="18"/>
        <v/>
      </c>
      <c r="R48" s="7" t="str">
        <f t="shared" si="19"/>
        <v>802,15,9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802,15</v>
      </c>
      <c r="J49" s="7" t="str">
        <f t="shared" si="13"/>
        <v>802,15,10</v>
      </c>
      <c r="K49" s="7" t="str">
        <f t="shared" si="28"/>
        <v/>
      </c>
      <c r="L49" s="7" t="str">
        <f t="shared" si="14"/>
        <v/>
      </c>
      <c r="M49" s="7" t="str">
        <f t="shared" si="15"/>
        <v>802,15,10</v>
      </c>
      <c r="N49" s="7" t="str">
        <f t="shared" si="28"/>
        <v>802,15</v>
      </c>
      <c r="O49" s="7" t="str">
        <f t="shared" si="16"/>
        <v>802,15,10</v>
      </c>
      <c r="P49" s="7" t="str">
        <f t="shared" si="17"/>
        <v/>
      </c>
      <c r="Q49" s="7" t="str">
        <f t="shared" si="18"/>
        <v/>
      </c>
      <c r="R49" s="7" t="str">
        <f t="shared" si="19"/>
        <v>802,15,10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803,15</v>
      </c>
      <c r="J50" s="7" t="str">
        <f t="shared" si="13"/>
        <v>803,15,11</v>
      </c>
      <c r="K50" s="7" t="str">
        <f t="shared" si="29"/>
        <v/>
      </c>
      <c r="L50" s="7" t="str">
        <f t="shared" si="14"/>
        <v/>
      </c>
      <c r="M50" s="7" t="str">
        <f t="shared" si="15"/>
        <v>803,15,11</v>
      </c>
      <c r="N50" s="7" t="str">
        <f t="shared" si="29"/>
        <v>803,15</v>
      </c>
      <c r="O50" s="7" t="str">
        <f t="shared" si="16"/>
        <v>803,15,11</v>
      </c>
      <c r="P50" s="7" t="str">
        <f t="shared" si="17"/>
        <v/>
      </c>
      <c r="Q50" s="7" t="str">
        <f t="shared" si="18"/>
        <v/>
      </c>
      <c r="R50" s="7" t="str">
        <f t="shared" si="19"/>
        <v>803,15,11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803,15</v>
      </c>
      <c r="J51" s="7" t="str">
        <f t="shared" si="13"/>
        <v>803,15,12</v>
      </c>
      <c r="K51" s="7" t="str">
        <f t="shared" si="30"/>
        <v>806,1</v>
      </c>
      <c r="L51" s="7" t="str">
        <f t="shared" si="14"/>
        <v>806,1,12</v>
      </c>
      <c r="M51" s="7" t="str">
        <f t="shared" si="15"/>
        <v>803,15,12;806,1,12</v>
      </c>
      <c r="N51" s="7" t="str">
        <f t="shared" si="30"/>
        <v>803,15</v>
      </c>
      <c r="O51" s="7" t="str">
        <f t="shared" si="16"/>
        <v>803,15,12</v>
      </c>
      <c r="P51" s="7" t="str">
        <f t="shared" si="17"/>
        <v>806,1</v>
      </c>
      <c r="Q51" s="7" t="str">
        <f t="shared" si="18"/>
        <v>806,1,12</v>
      </c>
      <c r="R51" s="7" t="str">
        <f t="shared" si="19"/>
        <v>803,15,12;806,1,12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801,10,1|801,10,2|801,10,3|801,10,4;805,5,4|802,10,5|802,10,6|802,10,7|802,10,8;805,5,8|802,15,9|802,15,10|803,15,11|803,15,12;806,1,12</v>
      </c>
      <c r="N71" s="7"/>
      <c r="O71" s="7"/>
      <c r="P71" s="7"/>
      <c r="Q71" s="7"/>
      <c r="R71" s="15" t="str">
        <f>_xlfn.TEXTJOIN("|",TRUE,R40:R69)</f>
        <v>801,10,1|801,10,2|801,10,3|801,10,4;805,5,4|802,10,5|802,10,6|802,10,7|802,10,8;805,5,8|802,15,9|802,15,10|803,15,11|803,15,12;806,1,12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901</v>
      </c>
      <c r="Y1" s="7">
        <v>3</v>
      </c>
      <c r="Z1" s="4">
        <v>902</v>
      </c>
      <c r="AA1" s="7">
        <v>903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901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901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905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901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901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906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901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901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901</v>
      </c>
      <c r="J5" s="7">
        <v>10</v>
      </c>
      <c r="K5" s="7">
        <f>IF(H5=1,"",INDEX($X$1:$X$3,MATCH(H5,$V$1:$V$3,0)))</f>
        <v>905</v>
      </c>
      <c r="L5" s="7">
        <f t="shared" si="4"/>
        <v>5</v>
      </c>
      <c r="M5" s="7"/>
      <c r="N5" s="7">
        <f>IF(A5&lt;5,$X$1,IF(A5&gt;10,$AA$1,$Z$1))</f>
        <v>901</v>
      </c>
      <c r="O5" s="7">
        <v>10</v>
      </c>
      <c r="P5" s="7">
        <f>IF(H5=1,"",INDEX($X$1:$X$3,MATCH(H5,$V$1:$V$3,0)))</f>
        <v>905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902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902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902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902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902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902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902</v>
      </c>
      <c r="J9" s="7">
        <v>10</v>
      </c>
      <c r="K9" s="7">
        <f>IF(H9=1,"",INDEX($X$1:$X$3,MATCH(H9,$V$1:$V$3,0)))</f>
        <v>905</v>
      </c>
      <c r="L9" s="7">
        <f t="shared" si="4"/>
        <v>5</v>
      </c>
      <c r="M9" s="7"/>
      <c r="N9" s="7">
        <f>IF(A9&lt;5,$X$1,IF(A9&gt;10,$AA$1,$Z$1))</f>
        <v>902</v>
      </c>
      <c r="O9" s="7">
        <v>10</v>
      </c>
      <c r="P9" s="7">
        <f>IF(H9=1,"",INDEX($X$1:$X$3,MATCH(H9,$V$1:$V$3,0)))</f>
        <v>905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902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902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902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902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903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903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903</v>
      </c>
      <c r="J13" s="7">
        <v>15</v>
      </c>
      <c r="K13" s="7">
        <f>IF(H13=1,"",INDEX($X$1:$X$3,MATCH(H13,$V$1:$V$3,0)))</f>
        <v>906</v>
      </c>
      <c r="L13" s="7">
        <f t="shared" si="4"/>
        <v>1</v>
      </c>
      <c r="M13" s="7"/>
      <c r="N13" s="7">
        <f>IF(A13&lt;5,$X$1,IF(A13&gt;10,$AA$1,$Z$1))</f>
        <v>903</v>
      </c>
      <c r="O13" s="7">
        <v>15</v>
      </c>
      <c r="P13" s="7">
        <f>IF(H13=1,"",INDEX($X$1:$X$3,MATCH(H13,$V$1:$V$3,0)))</f>
        <v>906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901,10</v>
      </c>
      <c r="J40" s="7" t="str">
        <f t="shared" ref="J40:J69" si="13">IF(I40="","",_xlfn.TEXTJOIN(",",TRUE,I40,H40))</f>
        <v>901,10,1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901,10,1</v>
      </c>
      <c r="N40" s="7" t="str">
        <f t="shared" si="12"/>
        <v>901,10</v>
      </c>
      <c r="O40" s="7" t="str">
        <f t="shared" ref="O40:O69" si="16">IF(N40="","",N40&amp;","&amp;H40)</f>
        <v>901,10,1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901,10,1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901,10</v>
      </c>
      <c r="J41" s="7" t="str">
        <f t="shared" si="13"/>
        <v>901,10,2</v>
      </c>
      <c r="K41" s="7" t="str">
        <f t="shared" si="20"/>
        <v/>
      </c>
      <c r="L41" s="7" t="str">
        <f t="shared" si="14"/>
        <v/>
      </c>
      <c r="M41" s="7" t="str">
        <f t="shared" si="15"/>
        <v>901,10,2</v>
      </c>
      <c r="N41" s="7" t="str">
        <f t="shared" si="20"/>
        <v>901,10</v>
      </c>
      <c r="O41" s="7" t="str">
        <f t="shared" si="16"/>
        <v>901,10,2</v>
      </c>
      <c r="P41" s="7" t="str">
        <f t="shared" si="17"/>
        <v/>
      </c>
      <c r="Q41" s="7" t="str">
        <f t="shared" si="18"/>
        <v/>
      </c>
      <c r="R41" s="7" t="str">
        <f t="shared" si="19"/>
        <v>901,10,2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901,10</v>
      </c>
      <c r="J42" s="7" t="str">
        <f t="shared" si="13"/>
        <v>901,10,3</v>
      </c>
      <c r="K42" s="7" t="str">
        <f t="shared" si="21"/>
        <v/>
      </c>
      <c r="L42" s="7" t="str">
        <f t="shared" si="14"/>
        <v/>
      </c>
      <c r="M42" s="7" t="str">
        <f t="shared" si="15"/>
        <v>901,10,3</v>
      </c>
      <c r="N42" s="7" t="str">
        <f t="shared" si="21"/>
        <v>901,10</v>
      </c>
      <c r="O42" s="7" t="str">
        <f t="shared" si="16"/>
        <v>901,10,3</v>
      </c>
      <c r="P42" s="7" t="str">
        <f t="shared" si="17"/>
        <v/>
      </c>
      <c r="Q42" s="7" t="str">
        <f t="shared" si="18"/>
        <v/>
      </c>
      <c r="R42" s="7" t="str">
        <f t="shared" si="19"/>
        <v>901,10,3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901,10</v>
      </c>
      <c r="J43" s="7" t="str">
        <f t="shared" si="13"/>
        <v>901,10,4</v>
      </c>
      <c r="K43" s="7" t="str">
        <f t="shared" si="22"/>
        <v>905,5</v>
      </c>
      <c r="L43" s="7" t="str">
        <f t="shared" si="14"/>
        <v>905,5,4</v>
      </c>
      <c r="M43" s="7" t="str">
        <f t="shared" si="15"/>
        <v>901,10,4;905,5,4</v>
      </c>
      <c r="N43" s="7" t="str">
        <f t="shared" si="22"/>
        <v>901,10</v>
      </c>
      <c r="O43" s="7" t="str">
        <f t="shared" si="16"/>
        <v>901,10,4</v>
      </c>
      <c r="P43" s="7" t="str">
        <f t="shared" si="17"/>
        <v>905,5</v>
      </c>
      <c r="Q43" s="7" t="str">
        <f t="shared" si="18"/>
        <v>905,5,4</v>
      </c>
      <c r="R43" s="7" t="str">
        <f t="shared" si="19"/>
        <v>901,10,4;905,5,4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902,10</v>
      </c>
      <c r="J44" s="7" t="str">
        <f t="shared" si="13"/>
        <v>902,10,5</v>
      </c>
      <c r="K44" s="7" t="str">
        <f t="shared" si="23"/>
        <v/>
      </c>
      <c r="L44" s="7" t="str">
        <f t="shared" si="14"/>
        <v/>
      </c>
      <c r="M44" s="7" t="str">
        <f t="shared" si="15"/>
        <v>902,10,5</v>
      </c>
      <c r="N44" s="7" t="str">
        <f t="shared" si="23"/>
        <v>902,10</v>
      </c>
      <c r="O44" s="7" t="str">
        <f t="shared" si="16"/>
        <v>902,10,5</v>
      </c>
      <c r="P44" s="7" t="str">
        <f t="shared" si="17"/>
        <v/>
      </c>
      <c r="Q44" s="7" t="str">
        <f t="shared" si="18"/>
        <v/>
      </c>
      <c r="R44" s="7" t="str">
        <f t="shared" si="19"/>
        <v>902,10,5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902,10</v>
      </c>
      <c r="J45" s="7" t="str">
        <f t="shared" si="13"/>
        <v>902,10,6</v>
      </c>
      <c r="K45" s="7" t="str">
        <f t="shared" si="24"/>
        <v/>
      </c>
      <c r="L45" s="7" t="str">
        <f t="shared" si="14"/>
        <v/>
      </c>
      <c r="M45" s="7" t="str">
        <f t="shared" si="15"/>
        <v>902,10,6</v>
      </c>
      <c r="N45" s="7" t="str">
        <f t="shared" si="24"/>
        <v>902,10</v>
      </c>
      <c r="O45" s="7" t="str">
        <f t="shared" si="16"/>
        <v>902,10,6</v>
      </c>
      <c r="P45" s="7" t="str">
        <f t="shared" si="17"/>
        <v/>
      </c>
      <c r="Q45" s="7" t="str">
        <f t="shared" si="18"/>
        <v/>
      </c>
      <c r="R45" s="7" t="str">
        <f t="shared" si="19"/>
        <v>902,10,6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902,10</v>
      </c>
      <c r="J46" s="7" t="str">
        <f t="shared" si="13"/>
        <v>902,10,7</v>
      </c>
      <c r="K46" s="7" t="str">
        <f t="shared" si="25"/>
        <v/>
      </c>
      <c r="L46" s="7" t="str">
        <f t="shared" si="14"/>
        <v/>
      </c>
      <c r="M46" s="7" t="str">
        <f t="shared" si="15"/>
        <v>902,10,7</v>
      </c>
      <c r="N46" s="7" t="str">
        <f t="shared" si="25"/>
        <v>902,10</v>
      </c>
      <c r="O46" s="7" t="str">
        <f t="shared" si="16"/>
        <v>902,10,7</v>
      </c>
      <c r="P46" s="7" t="str">
        <f t="shared" si="17"/>
        <v/>
      </c>
      <c r="Q46" s="7" t="str">
        <f t="shared" si="18"/>
        <v/>
      </c>
      <c r="R46" s="7" t="str">
        <f t="shared" si="19"/>
        <v>902,10,7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902,10</v>
      </c>
      <c r="J47" s="7" t="str">
        <f t="shared" si="13"/>
        <v>902,10,8</v>
      </c>
      <c r="K47" s="7" t="str">
        <f t="shared" si="26"/>
        <v>905,5</v>
      </c>
      <c r="L47" s="7" t="str">
        <f t="shared" si="14"/>
        <v>905,5,8</v>
      </c>
      <c r="M47" s="7" t="str">
        <f t="shared" si="15"/>
        <v>902,10,8;905,5,8</v>
      </c>
      <c r="N47" s="7" t="str">
        <f t="shared" si="26"/>
        <v>902,10</v>
      </c>
      <c r="O47" s="7" t="str">
        <f t="shared" si="16"/>
        <v>902,10,8</v>
      </c>
      <c r="P47" s="7" t="str">
        <f t="shared" si="17"/>
        <v>905,5</v>
      </c>
      <c r="Q47" s="7" t="str">
        <f t="shared" si="18"/>
        <v>905,5,8</v>
      </c>
      <c r="R47" s="7" t="str">
        <f t="shared" si="19"/>
        <v>902,10,8;905,5,8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902,15</v>
      </c>
      <c r="J48" s="7" t="str">
        <f t="shared" si="13"/>
        <v>902,15,9</v>
      </c>
      <c r="K48" s="7" t="str">
        <f t="shared" si="27"/>
        <v/>
      </c>
      <c r="L48" s="7" t="str">
        <f t="shared" si="14"/>
        <v/>
      </c>
      <c r="M48" s="7" t="str">
        <f t="shared" si="15"/>
        <v>902,15,9</v>
      </c>
      <c r="N48" s="7" t="str">
        <f t="shared" si="27"/>
        <v>902,15</v>
      </c>
      <c r="O48" s="7" t="str">
        <f t="shared" si="16"/>
        <v>902,15,9</v>
      </c>
      <c r="P48" s="7" t="str">
        <f t="shared" si="17"/>
        <v/>
      </c>
      <c r="Q48" s="7" t="str">
        <f t="shared" si="18"/>
        <v/>
      </c>
      <c r="R48" s="7" t="str">
        <f t="shared" si="19"/>
        <v>902,15,9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902,15</v>
      </c>
      <c r="J49" s="7" t="str">
        <f t="shared" si="13"/>
        <v>902,15,10</v>
      </c>
      <c r="K49" s="7" t="str">
        <f t="shared" si="28"/>
        <v/>
      </c>
      <c r="L49" s="7" t="str">
        <f t="shared" si="14"/>
        <v/>
      </c>
      <c r="M49" s="7" t="str">
        <f t="shared" si="15"/>
        <v>902,15,10</v>
      </c>
      <c r="N49" s="7" t="str">
        <f t="shared" si="28"/>
        <v>902,15</v>
      </c>
      <c r="O49" s="7" t="str">
        <f t="shared" si="16"/>
        <v>902,15,10</v>
      </c>
      <c r="P49" s="7" t="str">
        <f t="shared" si="17"/>
        <v/>
      </c>
      <c r="Q49" s="7" t="str">
        <f t="shared" si="18"/>
        <v/>
      </c>
      <c r="R49" s="7" t="str">
        <f t="shared" si="19"/>
        <v>902,15,10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903,15</v>
      </c>
      <c r="J50" s="7" t="str">
        <f t="shared" si="13"/>
        <v>903,15,11</v>
      </c>
      <c r="K50" s="7" t="str">
        <f t="shared" si="29"/>
        <v/>
      </c>
      <c r="L50" s="7" t="str">
        <f t="shared" si="14"/>
        <v/>
      </c>
      <c r="M50" s="7" t="str">
        <f t="shared" si="15"/>
        <v>903,15,11</v>
      </c>
      <c r="N50" s="7" t="str">
        <f t="shared" si="29"/>
        <v>903,15</v>
      </c>
      <c r="O50" s="7" t="str">
        <f t="shared" si="16"/>
        <v>903,15,11</v>
      </c>
      <c r="P50" s="7" t="str">
        <f t="shared" si="17"/>
        <v/>
      </c>
      <c r="Q50" s="7" t="str">
        <f t="shared" si="18"/>
        <v/>
      </c>
      <c r="R50" s="7" t="str">
        <f t="shared" si="19"/>
        <v>903,15,11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903,15</v>
      </c>
      <c r="J51" s="7" t="str">
        <f t="shared" si="13"/>
        <v>903,15,12</v>
      </c>
      <c r="K51" s="7" t="str">
        <f t="shared" si="30"/>
        <v>906,1</v>
      </c>
      <c r="L51" s="7" t="str">
        <f t="shared" si="14"/>
        <v>906,1,12</v>
      </c>
      <c r="M51" s="7" t="str">
        <f t="shared" si="15"/>
        <v>903,15,12;906,1,12</v>
      </c>
      <c r="N51" s="7" t="str">
        <f t="shared" si="30"/>
        <v>903,15</v>
      </c>
      <c r="O51" s="7" t="str">
        <f t="shared" si="16"/>
        <v>903,15,12</v>
      </c>
      <c r="P51" s="7" t="str">
        <f t="shared" si="17"/>
        <v>906,1</v>
      </c>
      <c r="Q51" s="7" t="str">
        <f t="shared" si="18"/>
        <v>906,1,12</v>
      </c>
      <c r="R51" s="7" t="str">
        <f t="shared" si="19"/>
        <v>903,15,12;906,1,12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901,10,1|901,10,2|901,10,3|901,10,4;905,5,4|902,10,5|902,10,6|902,10,7|902,10,8;905,5,8|902,15,9|902,15,10|903,15,11|903,15,12;906,1,12</v>
      </c>
      <c r="N71" s="7"/>
      <c r="O71" s="7"/>
      <c r="P71" s="7"/>
      <c r="Q71" s="7"/>
      <c r="R71" s="15" t="str">
        <f>_xlfn.TEXTJOIN("|",TRUE,R40:R69)</f>
        <v>901,10,1|901,10,2|901,10,3|901,10,4;905,5,4|902,10,5|902,10,6|902,10,7|902,10,8;905,5,8|902,15,9|902,15,10|903,15,11|903,15,12;906,1,12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1001</v>
      </c>
      <c r="Y1" s="7">
        <v>3</v>
      </c>
      <c r="Z1" s="4">
        <v>1002</v>
      </c>
      <c r="AA1" s="7">
        <v>1003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1001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1001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1005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1001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1001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1006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1001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1001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1001</v>
      </c>
      <c r="J5" s="7">
        <v>10</v>
      </c>
      <c r="K5" s="7">
        <f>IF(H5=1,"",INDEX($X$1:$X$3,MATCH(H5,$V$1:$V$3,0)))</f>
        <v>1005</v>
      </c>
      <c r="L5" s="7">
        <f t="shared" si="4"/>
        <v>5</v>
      </c>
      <c r="M5" s="7"/>
      <c r="N5" s="7">
        <f>IF(A5&lt;5,$X$1,IF(A5&gt;10,$AA$1,$Z$1))</f>
        <v>1001</v>
      </c>
      <c r="O5" s="7">
        <v>10</v>
      </c>
      <c r="P5" s="7">
        <f>IF(H5=1,"",INDEX($X$1:$X$3,MATCH(H5,$V$1:$V$3,0)))</f>
        <v>1005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1002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1002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1002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1002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1002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1002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1002</v>
      </c>
      <c r="J9" s="7">
        <v>10</v>
      </c>
      <c r="K9" s="7">
        <f>IF(H9=1,"",INDEX($X$1:$X$3,MATCH(H9,$V$1:$V$3,0)))</f>
        <v>1005</v>
      </c>
      <c r="L9" s="7">
        <f t="shared" si="4"/>
        <v>5</v>
      </c>
      <c r="M9" s="7"/>
      <c r="N9" s="7">
        <f>IF(A9&lt;5,$X$1,IF(A9&gt;10,$AA$1,$Z$1))</f>
        <v>1002</v>
      </c>
      <c r="O9" s="7">
        <v>10</v>
      </c>
      <c r="P9" s="7">
        <f>IF(H9=1,"",INDEX($X$1:$X$3,MATCH(H9,$V$1:$V$3,0)))</f>
        <v>1005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1002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1002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1002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1002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1003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1003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1003</v>
      </c>
      <c r="J13" s="7">
        <v>15</v>
      </c>
      <c r="K13" s="7">
        <f>IF(H13=1,"",INDEX($X$1:$X$3,MATCH(H13,$V$1:$V$3,0)))</f>
        <v>1006</v>
      </c>
      <c r="L13" s="7">
        <f t="shared" si="4"/>
        <v>1</v>
      </c>
      <c r="M13" s="7"/>
      <c r="N13" s="7">
        <f>IF(A13&lt;5,$X$1,IF(A13&gt;10,$AA$1,$Z$1))</f>
        <v>1003</v>
      </c>
      <c r="O13" s="7">
        <v>15</v>
      </c>
      <c r="P13" s="7">
        <f>IF(H13=1,"",INDEX($X$1:$X$3,MATCH(H13,$V$1:$V$3,0)))</f>
        <v>1006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1001,10</v>
      </c>
      <c r="J40" s="7" t="str">
        <f t="shared" ref="J40:J69" si="13">IF(I40="","",_xlfn.TEXTJOIN(",",TRUE,I40,H40))</f>
        <v>1001,10,1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1001,10,1</v>
      </c>
      <c r="N40" s="7" t="str">
        <f t="shared" si="12"/>
        <v>1001,10</v>
      </c>
      <c r="O40" s="7" t="str">
        <f t="shared" ref="O40:O69" si="16">IF(N40="","",N40&amp;","&amp;H40)</f>
        <v>1001,10,1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1001,10,1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1001,10</v>
      </c>
      <c r="J41" s="7" t="str">
        <f t="shared" si="13"/>
        <v>1001,10,2</v>
      </c>
      <c r="K41" s="7" t="str">
        <f t="shared" si="20"/>
        <v/>
      </c>
      <c r="L41" s="7" t="str">
        <f t="shared" si="14"/>
        <v/>
      </c>
      <c r="M41" s="7" t="str">
        <f t="shared" si="15"/>
        <v>1001,10,2</v>
      </c>
      <c r="N41" s="7" t="str">
        <f t="shared" si="20"/>
        <v>1001,10</v>
      </c>
      <c r="O41" s="7" t="str">
        <f t="shared" si="16"/>
        <v>1001,10,2</v>
      </c>
      <c r="P41" s="7" t="str">
        <f t="shared" si="17"/>
        <v/>
      </c>
      <c r="Q41" s="7" t="str">
        <f t="shared" si="18"/>
        <v/>
      </c>
      <c r="R41" s="7" t="str">
        <f t="shared" si="19"/>
        <v>1001,10,2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1001,10</v>
      </c>
      <c r="J42" s="7" t="str">
        <f t="shared" si="13"/>
        <v>1001,10,3</v>
      </c>
      <c r="K42" s="7" t="str">
        <f t="shared" si="21"/>
        <v/>
      </c>
      <c r="L42" s="7" t="str">
        <f t="shared" si="14"/>
        <v/>
      </c>
      <c r="M42" s="7" t="str">
        <f t="shared" si="15"/>
        <v>1001,10,3</v>
      </c>
      <c r="N42" s="7" t="str">
        <f t="shared" si="21"/>
        <v>1001,10</v>
      </c>
      <c r="O42" s="7" t="str">
        <f t="shared" si="16"/>
        <v>1001,10,3</v>
      </c>
      <c r="P42" s="7" t="str">
        <f t="shared" si="17"/>
        <v/>
      </c>
      <c r="Q42" s="7" t="str">
        <f t="shared" si="18"/>
        <v/>
      </c>
      <c r="R42" s="7" t="str">
        <f t="shared" si="19"/>
        <v>1001,10,3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1001,10</v>
      </c>
      <c r="J43" s="7" t="str">
        <f t="shared" si="13"/>
        <v>1001,10,4</v>
      </c>
      <c r="K43" s="7" t="str">
        <f t="shared" si="22"/>
        <v>1005,5</v>
      </c>
      <c r="L43" s="7" t="str">
        <f t="shared" si="14"/>
        <v>1005,5,4</v>
      </c>
      <c r="M43" s="7" t="str">
        <f t="shared" si="15"/>
        <v>1001,10,4;1005,5,4</v>
      </c>
      <c r="N43" s="7" t="str">
        <f t="shared" si="22"/>
        <v>1001,10</v>
      </c>
      <c r="O43" s="7" t="str">
        <f t="shared" si="16"/>
        <v>1001,10,4</v>
      </c>
      <c r="P43" s="7" t="str">
        <f t="shared" si="17"/>
        <v>1005,5</v>
      </c>
      <c r="Q43" s="7" t="str">
        <f t="shared" si="18"/>
        <v>1005,5,4</v>
      </c>
      <c r="R43" s="7" t="str">
        <f t="shared" si="19"/>
        <v>1001,10,4;1005,5,4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1002,10</v>
      </c>
      <c r="J44" s="7" t="str">
        <f t="shared" si="13"/>
        <v>1002,10,5</v>
      </c>
      <c r="K44" s="7" t="str">
        <f t="shared" si="23"/>
        <v/>
      </c>
      <c r="L44" s="7" t="str">
        <f t="shared" si="14"/>
        <v/>
      </c>
      <c r="M44" s="7" t="str">
        <f t="shared" si="15"/>
        <v>1002,10,5</v>
      </c>
      <c r="N44" s="7" t="str">
        <f t="shared" si="23"/>
        <v>1002,10</v>
      </c>
      <c r="O44" s="7" t="str">
        <f t="shared" si="16"/>
        <v>1002,10,5</v>
      </c>
      <c r="P44" s="7" t="str">
        <f t="shared" si="17"/>
        <v/>
      </c>
      <c r="Q44" s="7" t="str">
        <f t="shared" si="18"/>
        <v/>
      </c>
      <c r="R44" s="7" t="str">
        <f t="shared" si="19"/>
        <v>1002,10,5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1002,10</v>
      </c>
      <c r="J45" s="7" t="str">
        <f t="shared" si="13"/>
        <v>1002,10,6</v>
      </c>
      <c r="K45" s="7" t="str">
        <f t="shared" si="24"/>
        <v/>
      </c>
      <c r="L45" s="7" t="str">
        <f t="shared" si="14"/>
        <v/>
      </c>
      <c r="M45" s="7" t="str">
        <f t="shared" si="15"/>
        <v>1002,10,6</v>
      </c>
      <c r="N45" s="7" t="str">
        <f t="shared" si="24"/>
        <v>1002,10</v>
      </c>
      <c r="O45" s="7" t="str">
        <f t="shared" si="16"/>
        <v>1002,10,6</v>
      </c>
      <c r="P45" s="7" t="str">
        <f t="shared" si="17"/>
        <v/>
      </c>
      <c r="Q45" s="7" t="str">
        <f t="shared" si="18"/>
        <v/>
      </c>
      <c r="R45" s="7" t="str">
        <f t="shared" si="19"/>
        <v>1002,10,6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1002,10</v>
      </c>
      <c r="J46" s="7" t="str">
        <f t="shared" si="13"/>
        <v>1002,10,7</v>
      </c>
      <c r="K46" s="7" t="str">
        <f t="shared" si="25"/>
        <v/>
      </c>
      <c r="L46" s="7" t="str">
        <f t="shared" si="14"/>
        <v/>
      </c>
      <c r="M46" s="7" t="str">
        <f t="shared" si="15"/>
        <v>1002,10,7</v>
      </c>
      <c r="N46" s="7" t="str">
        <f t="shared" si="25"/>
        <v>1002,10</v>
      </c>
      <c r="O46" s="7" t="str">
        <f t="shared" si="16"/>
        <v>1002,10,7</v>
      </c>
      <c r="P46" s="7" t="str">
        <f t="shared" si="17"/>
        <v/>
      </c>
      <c r="Q46" s="7" t="str">
        <f t="shared" si="18"/>
        <v/>
      </c>
      <c r="R46" s="7" t="str">
        <f t="shared" si="19"/>
        <v>1002,10,7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1002,10</v>
      </c>
      <c r="J47" s="7" t="str">
        <f t="shared" si="13"/>
        <v>1002,10,8</v>
      </c>
      <c r="K47" s="7" t="str">
        <f t="shared" si="26"/>
        <v>1005,5</v>
      </c>
      <c r="L47" s="7" t="str">
        <f t="shared" si="14"/>
        <v>1005,5,8</v>
      </c>
      <c r="M47" s="7" t="str">
        <f t="shared" si="15"/>
        <v>1002,10,8;1005,5,8</v>
      </c>
      <c r="N47" s="7" t="str">
        <f t="shared" si="26"/>
        <v>1002,10</v>
      </c>
      <c r="O47" s="7" t="str">
        <f t="shared" si="16"/>
        <v>1002,10,8</v>
      </c>
      <c r="P47" s="7" t="str">
        <f t="shared" si="17"/>
        <v>1005,5</v>
      </c>
      <c r="Q47" s="7" t="str">
        <f t="shared" si="18"/>
        <v>1005,5,8</v>
      </c>
      <c r="R47" s="7" t="str">
        <f t="shared" si="19"/>
        <v>1002,10,8;1005,5,8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1002,15</v>
      </c>
      <c r="J48" s="7" t="str">
        <f t="shared" si="13"/>
        <v>1002,15,9</v>
      </c>
      <c r="K48" s="7" t="str">
        <f t="shared" si="27"/>
        <v/>
      </c>
      <c r="L48" s="7" t="str">
        <f t="shared" si="14"/>
        <v/>
      </c>
      <c r="M48" s="7" t="str">
        <f t="shared" si="15"/>
        <v>1002,15,9</v>
      </c>
      <c r="N48" s="7" t="str">
        <f t="shared" si="27"/>
        <v>1002,15</v>
      </c>
      <c r="O48" s="7" t="str">
        <f t="shared" si="16"/>
        <v>1002,15,9</v>
      </c>
      <c r="P48" s="7" t="str">
        <f t="shared" si="17"/>
        <v/>
      </c>
      <c r="Q48" s="7" t="str">
        <f t="shared" si="18"/>
        <v/>
      </c>
      <c r="R48" s="7" t="str">
        <f t="shared" si="19"/>
        <v>1002,15,9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1002,15</v>
      </c>
      <c r="J49" s="7" t="str">
        <f t="shared" si="13"/>
        <v>1002,15,10</v>
      </c>
      <c r="K49" s="7" t="str">
        <f t="shared" si="28"/>
        <v/>
      </c>
      <c r="L49" s="7" t="str">
        <f t="shared" si="14"/>
        <v/>
      </c>
      <c r="M49" s="7" t="str">
        <f t="shared" si="15"/>
        <v>1002,15,10</v>
      </c>
      <c r="N49" s="7" t="str">
        <f t="shared" si="28"/>
        <v>1002,15</v>
      </c>
      <c r="O49" s="7" t="str">
        <f t="shared" si="16"/>
        <v>1002,15,10</v>
      </c>
      <c r="P49" s="7" t="str">
        <f t="shared" si="17"/>
        <v/>
      </c>
      <c r="Q49" s="7" t="str">
        <f t="shared" si="18"/>
        <v/>
      </c>
      <c r="R49" s="7" t="str">
        <f t="shared" si="19"/>
        <v>1002,15,10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1003,15</v>
      </c>
      <c r="J50" s="7" t="str">
        <f t="shared" si="13"/>
        <v>1003,15,11</v>
      </c>
      <c r="K50" s="7" t="str">
        <f t="shared" si="29"/>
        <v/>
      </c>
      <c r="L50" s="7" t="str">
        <f t="shared" si="14"/>
        <v/>
      </c>
      <c r="M50" s="7" t="str">
        <f t="shared" si="15"/>
        <v>1003,15,11</v>
      </c>
      <c r="N50" s="7" t="str">
        <f t="shared" si="29"/>
        <v>1003,15</v>
      </c>
      <c r="O50" s="7" t="str">
        <f t="shared" si="16"/>
        <v>1003,15,11</v>
      </c>
      <c r="P50" s="7" t="str">
        <f t="shared" si="17"/>
        <v/>
      </c>
      <c r="Q50" s="7" t="str">
        <f t="shared" si="18"/>
        <v/>
      </c>
      <c r="R50" s="7" t="str">
        <f t="shared" si="19"/>
        <v>1003,15,11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1003,15</v>
      </c>
      <c r="J51" s="7" t="str">
        <f t="shared" si="13"/>
        <v>1003,15,12</v>
      </c>
      <c r="K51" s="7" t="str">
        <f t="shared" si="30"/>
        <v>1006,1</v>
      </c>
      <c r="L51" s="7" t="str">
        <f t="shared" si="14"/>
        <v>1006,1,12</v>
      </c>
      <c r="M51" s="7" t="str">
        <f t="shared" si="15"/>
        <v>1003,15,12;1006,1,12</v>
      </c>
      <c r="N51" s="7" t="str">
        <f t="shared" si="30"/>
        <v>1003,15</v>
      </c>
      <c r="O51" s="7" t="str">
        <f t="shared" si="16"/>
        <v>1003,15,12</v>
      </c>
      <c r="P51" s="7" t="str">
        <f t="shared" si="17"/>
        <v>1006,1</v>
      </c>
      <c r="Q51" s="7" t="str">
        <f t="shared" si="18"/>
        <v>1006,1,12</v>
      </c>
      <c r="R51" s="7" t="str">
        <f t="shared" si="19"/>
        <v>1003,15,12;1006,1,12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1001,10,1|1001,10,2|1001,10,3|1001,10,4;1005,5,4|1002,10,5|1002,10,6|1002,10,7|1002,10,8;1005,5,8|1002,15,9|1002,15,10|1003,15,11|1003,15,12;1006,1,12</v>
      </c>
      <c r="N71" s="7"/>
      <c r="O71" s="7"/>
      <c r="P71" s="7"/>
      <c r="Q71" s="7"/>
      <c r="R71" s="15" t="str">
        <f>_xlfn.TEXTJOIN("|",TRUE,R40:R69)</f>
        <v>1001,10,1|1001,10,2|1001,10,3|1001,10,4;1005,5,4|1002,10,5|1002,10,6|1002,10,7|1002,10,8;1005,5,8|1002,15,9|1002,15,10|1003,15,11|1003,15,12;1006,1,12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1101</v>
      </c>
      <c r="Y1" s="7">
        <v>3</v>
      </c>
      <c r="Z1" s="4">
        <v>1102</v>
      </c>
      <c r="AA1" s="7">
        <v>1103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1101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1101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1105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1101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1101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1106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1101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1101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1101</v>
      </c>
      <c r="J5" s="7">
        <v>10</v>
      </c>
      <c r="K5" s="7">
        <f>IF(H5=1,"",INDEX($X$1:$X$3,MATCH(H5,$V$1:$V$3,0)))</f>
        <v>1105</v>
      </c>
      <c r="L5" s="7">
        <f t="shared" si="4"/>
        <v>5</v>
      </c>
      <c r="M5" s="7"/>
      <c r="N5" s="7">
        <f>IF(A5&lt;5,$X$1,IF(A5&gt;10,$AA$1,$Z$1))</f>
        <v>1101</v>
      </c>
      <c r="O5" s="7">
        <v>10</v>
      </c>
      <c r="P5" s="7">
        <f>IF(H5=1,"",INDEX($X$1:$X$3,MATCH(H5,$V$1:$V$3,0)))</f>
        <v>1105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1102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1102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1102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1102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1102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1102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1102</v>
      </c>
      <c r="J9" s="7">
        <v>10</v>
      </c>
      <c r="K9" s="7">
        <f>IF(H9=1,"",INDEX($X$1:$X$3,MATCH(H9,$V$1:$V$3,0)))</f>
        <v>1105</v>
      </c>
      <c r="L9" s="7">
        <f t="shared" si="4"/>
        <v>5</v>
      </c>
      <c r="M9" s="7"/>
      <c r="N9" s="7">
        <f>IF(A9&lt;5,$X$1,IF(A9&gt;10,$AA$1,$Z$1))</f>
        <v>1102</v>
      </c>
      <c r="O9" s="7">
        <v>10</v>
      </c>
      <c r="P9" s="7">
        <f>IF(H9=1,"",INDEX($X$1:$X$3,MATCH(H9,$V$1:$V$3,0)))</f>
        <v>1105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1102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1102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1102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1102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1103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1103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1103</v>
      </c>
      <c r="J13" s="7">
        <v>15</v>
      </c>
      <c r="K13" s="7">
        <f>IF(H13=1,"",INDEX($X$1:$X$3,MATCH(H13,$V$1:$V$3,0)))</f>
        <v>1106</v>
      </c>
      <c r="L13" s="7">
        <f t="shared" si="4"/>
        <v>1</v>
      </c>
      <c r="M13" s="7"/>
      <c r="N13" s="7">
        <f>IF(A13&lt;5,$X$1,IF(A13&gt;10,$AA$1,$Z$1))</f>
        <v>1103</v>
      </c>
      <c r="O13" s="7">
        <v>15</v>
      </c>
      <c r="P13" s="7">
        <f>IF(H13=1,"",INDEX($X$1:$X$3,MATCH(H13,$V$1:$V$3,0)))</f>
        <v>1106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1101,10</v>
      </c>
      <c r="J40" s="7" t="str">
        <f t="shared" ref="J40:J69" si="13">IF(I40="","",_xlfn.TEXTJOIN(",",TRUE,I40,H40))</f>
        <v>1101,10,1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1101,10,1</v>
      </c>
      <c r="N40" s="7" t="str">
        <f t="shared" si="12"/>
        <v>1101,10</v>
      </c>
      <c r="O40" s="7" t="str">
        <f t="shared" ref="O40:O69" si="16">IF(N40="","",N40&amp;","&amp;H40)</f>
        <v>1101,10,1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1101,10,1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1101,10</v>
      </c>
      <c r="J41" s="7" t="str">
        <f t="shared" si="13"/>
        <v>1101,10,2</v>
      </c>
      <c r="K41" s="7" t="str">
        <f t="shared" si="20"/>
        <v/>
      </c>
      <c r="L41" s="7" t="str">
        <f t="shared" si="14"/>
        <v/>
      </c>
      <c r="M41" s="7" t="str">
        <f t="shared" si="15"/>
        <v>1101,10,2</v>
      </c>
      <c r="N41" s="7" t="str">
        <f t="shared" si="20"/>
        <v>1101,10</v>
      </c>
      <c r="O41" s="7" t="str">
        <f t="shared" si="16"/>
        <v>1101,10,2</v>
      </c>
      <c r="P41" s="7" t="str">
        <f t="shared" si="17"/>
        <v/>
      </c>
      <c r="Q41" s="7" t="str">
        <f t="shared" si="18"/>
        <v/>
      </c>
      <c r="R41" s="7" t="str">
        <f t="shared" si="19"/>
        <v>1101,10,2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1101,10</v>
      </c>
      <c r="J42" s="7" t="str">
        <f t="shared" si="13"/>
        <v>1101,10,3</v>
      </c>
      <c r="K42" s="7" t="str">
        <f t="shared" si="21"/>
        <v/>
      </c>
      <c r="L42" s="7" t="str">
        <f t="shared" si="14"/>
        <v/>
      </c>
      <c r="M42" s="7" t="str">
        <f t="shared" si="15"/>
        <v>1101,10,3</v>
      </c>
      <c r="N42" s="7" t="str">
        <f t="shared" si="21"/>
        <v>1101,10</v>
      </c>
      <c r="O42" s="7" t="str">
        <f t="shared" si="16"/>
        <v>1101,10,3</v>
      </c>
      <c r="P42" s="7" t="str">
        <f t="shared" si="17"/>
        <v/>
      </c>
      <c r="Q42" s="7" t="str">
        <f t="shared" si="18"/>
        <v/>
      </c>
      <c r="R42" s="7" t="str">
        <f t="shared" si="19"/>
        <v>1101,10,3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1101,10</v>
      </c>
      <c r="J43" s="7" t="str">
        <f t="shared" si="13"/>
        <v>1101,10,4</v>
      </c>
      <c r="K43" s="7" t="str">
        <f t="shared" si="22"/>
        <v>1105,5</v>
      </c>
      <c r="L43" s="7" t="str">
        <f t="shared" si="14"/>
        <v>1105,5,4</v>
      </c>
      <c r="M43" s="7" t="str">
        <f t="shared" si="15"/>
        <v>1101,10,4;1105,5,4</v>
      </c>
      <c r="N43" s="7" t="str">
        <f t="shared" si="22"/>
        <v>1101,10</v>
      </c>
      <c r="O43" s="7" t="str">
        <f t="shared" si="16"/>
        <v>1101,10,4</v>
      </c>
      <c r="P43" s="7" t="str">
        <f t="shared" si="17"/>
        <v>1105,5</v>
      </c>
      <c r="Q43" s="7" t="str">
        <f t="shared" si="18"/>
        <v>1105,5,4</v>
      </c>
      <c r="R43" s="7" t="str">
        <f t="shared" si="19"/>
        <v>1101,10,4;1105,5,4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1102,10</v>
      </c>
      <c r="J44" s="7" t="str">
        <f t="shared" si="13"/>
        <v>1102,10,5</v>
      </c>
      <c r="K44" s="7" t="str">
        <f t="shared" si="23"/>
        <v/>
      </c>
      <c r="L44" s="7" t="str">
        <f t="shared" si="14"/>
        <v/>
      </c>
      <c r="M44" s="7" t="str">
        <f t="shared" si="15"/>
        <v>1102,10,5</v>
      </c>
      <c r="N44" s="7" t="str">
        <f t="shared" si="23"/>
        <v>1102,10</v>
      </c>
      <c r="O44" s="7" t="str">
        <f t="shared" si="16"/>
        <v>1102,10,5</v>
      </c>
      <c r="P44" s="7" t="str">
        <f t="shared" si="17"/>
        <v/>
      </c>
      <c r="Q44" s="7" t="str">
        <f t="shared" si="18"/>
        <v/>
      </c>
      <c r="R44" s="7" t="str">
        <f t="shared" si="19"/>
        <v>1102,10,5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1102,10</v>
      </c>
      <c r="J45" s="7" t="str">
        <f t="shared" si="13"/>
        <v>1102,10,6</v>
      </c>
      <c r="K45" s="7" t="str">
        <f t="shared" si="24"/>
        <v/>
      </c>
      <c r="L45" s="7" t="str">
        <f t="shared" si="14"/>
        <v/>
      </c>
      <c r="M45" s="7" t="str">
        <f t="shared" si="15"/>
        <v>1102,10,6</v>
      </c>
      <c r="N45" s="7" t="str">
        <f t="shared" si="24"/>
        <v>1102,10</v>
      </c>
      <c r="O45" s="7" t="str">
        <f t="shared" si="16"/>
        <v>1102,10,6</v>
      </c>
      <c r="P45" s="7" t="str">
        <f t="shared" si="17"/>
        <v/>
      </c>
      <c r="Q45" s="7" t="str">
        <f t="shared" si="18"/>
        <v/>
      </c>
      <c r="R45" s="7" t="str">
        <f t="shared" si="19"/>
        <v>1102,10,6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1102,10</v>
      </c>
      <c r="J46" s="7" t="str">
        <f t="shared" si="13"/>
        <v>1102,10,7</v>
      </c>
      <c r="K46" s="7" t="str">
        <f t="shared" si="25"/>
        <v/>
      </c>
      <c r="L46" s="7" t="str">
        <f t="shared" si="14"/>
        <v/>
      </c>
      <c r="M46" s="7" t="str">
        <f t="shared" si="15"/>
        <v>1102,10,7</v>
      </c>
      <c r="N46" s="7" t="str">
        <f t="shared" si="25"/>
        <v>1102,10</v>
      </c>
      <c r="O46" s="7" t="str">
        <f t="shared" si="16"/>
        <v>1102,10,7</v>
      </c>
      <c r="P46" s="7" t="str">
        <f t="shared" si="17"/>
        <v/>
      </c>
      <c r="Q46" s="7" t="str">
        <f t="shared" si="18"/>
        <v/>
      </c>
      <c r="R46" s="7" t="str">
        <f t="shared" si="19"/>
        <v>1102,10,7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1102,10</v>
      </c>
      <c r="J47" s="7" t="str">
        <f t="shared" si="13"/>
        <v>1102,10,8</v>
      </c>
      <c r="K47" s="7" t="str">
        <f t="shared" si="26"/>
        <v>1105,5</v>
      </c>
      <c r="L47" s="7" t="str">
        <f t="shared" si="14"/>
        <v>1105,5,8</v>
      </c>
      <c r="M47" s="7" t="str">
        <f t="shared" si="15"/>
        <v>1102,10,8;1105,5,8</v>
      </c>
      <c r="N47" s="7" t="str">
        <f t="shared" si="26"/>
        <v>1102,10</v>
      </c>
      <c r="O47" s="7" t="str">
        <f t="shared" si="16"/>
        <v>1102,10,8</v>
      </c>
      <c r="P47" s="7" t="str">
        <f t="shared" si="17"/>
        <v>1105,5</v>
      </c>
      <c r="Q47" s="7" t="str">
        <f t="shared" si="18"/>
        <v>1105,5,8</v>
      </c>
      <c r="R47" s="7" t="str">
        <f t="shared" si="19"/>
        <v>1102,10,8;1105,5,8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1102,15</v>
      </c>
      <c r="J48" s="7" t="str">
        <f t="shared" si="13"/>
        <v>1102,15,9</v>
      </c>
      <c r="K48" s="7" t="str">
        <f t="shared" si="27"/>
        <v/>
      </c>
      <c r="L48" s="7" t="str">
        <f t="shared" si="14"/>
        <v/>
      </c>
      <c r="M48" s="7" t="str">
        <f t="shared" si="15"/>
        <v>1102,15,9</v>
      </c>
      <c r="N48" s="7" t="str">
        <f t="shared" si="27"/>
        <v>1102,15</v>
      </c>
      <c r="O48" s="7" t="str">
        <f t="shared" si="16"/>
        <v>1102,15,9</v>
      </c>
      <c r="P48" s="7" t="str">
        <f t="shared" si="17"/>
        <v/>
      </c>
      <c r="Q48" s="7" t="str">
        <f t="shared" si="18"/>
        <v/>
      </c>
      <c r="R48" s="7" t="str">
        <f t="shared" si="19"/>
        <v>1102,15,9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1102,15</v>
      </c>
      <c r="J49" s="7" t="str">
        <f t="shared" si="13"/>
        <v>1102,15,10</v>
      </c>
      <c r="K49" s="7" t="str">
        <f t="shared" si="28"/>
        <v/>
      </c>
      <c r="L49" s="7" t="str">
        <f t="shared" si="14"/>
        <v/>
      </c>
      <c r="M49" s="7" t="str">
        <f t="shared" si="15"/>
        <v>1102,15,10</v>
      </c>
      <c r="N49" s="7" t="str">
        <f t="shared" si="28"/>
        <v>1102,15</v>
      </c>
      <c r="O49" s="7" t="str">
        <f t="shared" si="16"/>
        <v>1102,15,10</v>
      </c>
      <c r="P49" s="7" t="str">
        <f t="shared" si="17"/>
        <v/>
      </c>
      <c r="Q49" s="7" t="str">
        <f t="shared" si="18"/>
        <v/>
      </c>
      <c r="R49" s="7" t="str">
        <f t="shared" si="19"/>
        <v>1102,15,10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1103,15</v>
      </c>
      <c r="J50" s="7" t="str">
        <f t="shared" si="13"/>
        <v>1103,15,11</v>
      </c>
      <c r="K50" s="7" t="str">
        <f t="shared" si="29"/>
        <v/>
      </c>
      <c r="L50" s="7" t="str">
        <f t="shared" si="14"/>
        <v/>
      </c>
      <c r="M50" s="7" t="str">
        <f t="shared" si="15"/>
        <v>1103,15,11</v>
      </c>
      <c r="N50" s="7" t="str">
        <f t="shared" si="29"/>
        <v>1103,15</v>
      </c>
      <c r="O50" s="7" t="str">
        <f t="shared" si="16"/>
        <v>1103,15,11</v>
      </c>
      <c r="P50" s="7" t="str">
        <f t="shared" si="17"/>
        <v/>
      </c>
      <c r="Q50" s="7" t="str">
        <f t="shared" si="18"/>
        <v/>
      </c>
      <c r="R50" s="7" t="str">
        <f t="shared" si="19"/>
        <v>1103,15,11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1103,15</v>
      </c>
      <c r="J51" s="7" t="str">
        <f t="shared" si="13"/>
        <v>1103,15,12</v>
      </c>
      <c r="K51" s="7" t="str">
        <f t="shared" si="30"/>
        <v>1106,1</v>
      </c>
      <c r="L51" s="7" t="str">
        <f t="shared" si="14"/>
        <v>1106,1,12</v>
      </c>
      <c r="M51" s="7" t="str">
        <f t="shared" si="15"/>
        <v>1103,15,12;1106,1,12</v>
      </c>
      <c r="N51" s="7" t="str">
        <f t="shared" si="30"/>
        <v>1103,15</v>
      </c>
      <c r="O51" s="7" t="str">
        <f t="shared" si="16"/>
        <v>1103,15,12</v>
      </c>
      <c r="P51" s="7" t="str">
        <f t="shared" si="17"/>
        <v>1106,1</v>
      </c>
      <c r="Q51" s="7" t="str">
        <f t="shared" si="18"/>
        <v>1106,1,12</v>
      </c>
      <c r="R51" s="7" t="str">
        <f t="shared" si="19"/>
        <v>1103,15,12;1106,1,12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1101,10,1|1101,10,2|1101,10,3|1101,10,4;1105,5,4|1102,10,5|1102,10,6|1102,10,7|1102,10,8;1105,5,8|1102,15,9|1102,15,10|1103,15,11|1103,15,12;1106,1,12</v>
      </c>
      <c r="N71" s="7"/>
      <c r="O71" s="7"/>
      <c r="P71" s="7"/>
      <c r="Q71" s="7"/>
      <c r="R71" s="15" t="str">
        <f>_xlfn.TEXTJOIN("|",TRUE,R40:R69)</f>
        <v>1101,10,1|1101,10,2|1101,10,3|1101,10,4;1105,5,4|1102,10,5|1102,10,6|1102,10,7|1102,10,8;1105,5,8|1102,15,9|1102,15,10|1103,15,11|1103,15,12;1106,1,12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1201</v>
      </c>
      <c r="Y1" s="7">
        <v>3</v>
      </c>
      <c r="Z1" s="4">
        <v>1202</v>
      </c>
      <c r="AA1" s="7">
        <v>1203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1201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1201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1205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1201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1201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1206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1201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1201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1201</v>
      </c>
      <c r="J5" s="7">
        <v>10</v>
      </c>
      <c r="K5" s="7">
        <f>IF(H5=1,"",INDEX($X$1:$X$3,MATCH(H5,$V$1:$V$3,0)))</f>
        <v>1205</v>
      </c>
      <c r="L5" s="7">
        <f t="shared" si="4"/>
        <v>5</v>
      </c>
      <c r="M5" s="7"/>
      <c r="N5" s="7">
        <f>IF(A5&lt;5,$X$1,IF(A5&gt;10,$AA$1,$Z$1))</f>
        <v>1201</v>
      </c>
      <c r="O5" s="7">
        <v>10</v>
      </c>
      <c r="P5" s="7">
        <f>IF(H5=1,"",INDEX($X$1:$X$3,MATCH(H5,$V$1:$V$3,0)))</f>
        <v>1205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1202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1202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1202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1202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1202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1202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1202</v>
      </c>
      <c r="J9" s="7">
        <v>10</v>
      </c>
      <c r="K9" s="7">
        <f>IF(H9=1,"",INDEX($X$1:$X$3,MATCH(H9,$V$1:$V$3,0)))</f>
        <v>1205</v>
      </c>
      <c r="L9" s="7">
        <f t="shared" si="4"/>
        <v>5</v>
      </c>
      <c r="M9" s="7"/>
      <c r="N9" s="7">
        <f>IF(A9&lt;5,$X$1,IF(A9&gt;10,$AA$1,$Z$1))</f>
        <v>1202</v>
      </c>
      <c r="O9" s="7">
        <v>10</v>
      </c>
      <c r="P9" s="7">
        <f>IF(H9=1,"",INDEX($X$1:$X$3,MATCH(H9,$V$1:$V$3,0)))</f>
        <v>1205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1202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1202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1202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1202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1203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1203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1203</v>
      </c>
      <c r="J13" s="7">
        <v>15</v>
      </c>
      <c r="K13" s="7">
        <f>IF(H13=1,"",INDEX($X$1:$X$3,MATCH(H13,$V$1:$V$3,0)))</f>
        <v>1206</v>
      </c>
      <c r="L13" s="7">
        <f t="shared" si="4"/>
        <v>1</v>
      </c>
      <c r="M13" s="7"/>
      <c r="N13" s="7">
        <f>IF(A13&lt;5,$X$1,IF(A13&gt;10,$AA$1,$Z$1))</f>
        <v>1203</v>
      </c>
      <c r="O13" s="7">
        <v>15</v>
      </c>
      <c r="P13" s="7">
        <f>IF(H13=1,"",INDEX($X$1:$X$3,MATCH(H13,$V$1:$V$3,0)))</f>
        <v>1206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1201,10</v>
      </c>
      <c r="J40" s="7" t="str">
        <f t="shared" ref="J40:J69" si="13">IF(I40="","",_xlfn.TEXTJOIN(",",TRUE,I40,H40))</f>
        <v>1201,10,1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1201,10,1</v>
      </c>
      <c r="N40" s="7" t="str">
        <f t="shared" si="12"/>
        <v>1201,10</v>
      </c>
      <c r="O40" s="7" t="str">
        <f t="shared" ref="O40:O69" si="16">IF(N40="","",N40&amp;","&amp;H40)</f>
        <v>1201,10,1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1201,10,1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1201,10</v>
      </c>
      <c r="J41" s="7" t="str">
        <f t="shared" si="13"/>
        <v>1201,10,2</v>
      </c>
      <c r="K41" s="7" t="str">
        <f t="shared" si="20"/>
        <v/>
      </c>
      <c r="L41" s="7" t="str">
        <f t="shared" si="14"/>
        <v/>
      </c>
      <c r="M41" s="7" t="str">
        <f t="shared" si="15"/>
        <v>1201,10,2</v>
      </c>
      <c r="N41" s="7" t="str">
        <f t="shared" si="20"/>
        <v>1201,10</v>
      </c>
      <c r="O41" s="7" t="str">
        <f t="shared" si="16"/>
        <v>1201,10,2</v>
      </c>
      <c r="P41" s="7" t="str">
        <f t="shared" si="17"/>
        <v/>
      </c>
      <c r="Q41" s="7" t="str">
        <f t="shared" si="18"/>
        <v/>
      </c>
      <c r="R41" s="7" t="str">
        <f t="shared" si="19"/>
        <v>1201,10,2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1201,10</v>
      </c>
      <c r="J42" s="7" t="str">
        <f t="shared" si="13"/>
        <v>1201,10,3</v>
      </c>
      <c r="K42" s="7" t="str">
        <f t="shared" si="21"/>
        <v/>
      </c>
      <c r="L42" s="7" t="str">
        <f t="shared" si="14"/>
        <v/>
      </c>
      <c r="M42" s="7" t="str">
        <f t="shared" si="15"/>
        <v>1201,10,3</v>
      </c>
      <c r="N42" s="7" t="str">
        <f t="shared" si="21"/>
        <v>1201,10</v>
      </c>
      <c r="O42" s="7" t="str">
        <f t="shared" si="16"/>
        <v>1201,10,3</v>
      </c>
      <c r="P42" s="7" t="str">
        <f t="shared" si="17"/>
        <v/>
      </c>
      <c r="Q42" s="7" t="str">
        <f t="shared" si="18"/>
        <v/>
      </c>
      <c r="R42" s="7" t="str">
        <f t="shared" si="19"/>
        <v>1201,10,3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1201,10</v>
      </c>
      <c r="J43" s="7" t="str">
        <f t="shared" si="13"/>
        <v>1201,10,4</v>
      </c>
      <c r="K43" s="7" t="str">
        <f t="shared" si="22"/>
        <v>1205,5</v>
      </c>
      <c r="L43" s="7" t="str">
        <f t="shared" si="14"/>
        <v>1205,5,4</v>
      </c>
      <c r="M43" s="7" t="str">
        <f t="shared" si="15"/>
        <v>1201,10,4;1205,5,4</v>
      </c>
      <c r="N43" s="7" t="str">
        <f t="shared" si="22"/>
        <v>1201,10</v>
      </c>
      <c r="O43" s="7" t="str">
        <f t="shared" si="16"/>
        <v>1201,10,4</v>
      </c>
      <c r="P43" s="7" t="str">
        <f t="shared" si="17"/>
        <v>1205,5</v>
      </c>
      <c r="Q43" s="7" t="str">
        <f t="shared" si="18"/>
        <v>1205,5,4</v>
      </c>
      <c r="R43" s="7" t="str">
        <f t="shared" si="19"/>
        <v>1201,10,4;1205,5,4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1202,10</v>
      </c>
      <c r="J44" s="7" t="str">
        <f t="shared" si="13"/>
        <v>1202,10,5</v>
      </c>
      <c r="K44" s="7" t="str">
        <f t="shared" si="23"/>
        <v/>
      </c>
      <c r="L44" s="7" t="str">
        <f t="shared" si="14"/>
        <v/>
      </c>
      <c r="M44" s="7" t="str">
        <f t="shared" si="15"/>
        <v>1202,10,5</v>
      </c>
      <c r="N44" s="7" t="str">
        <f t="shared" si="23"/>
        <v>1202,10</v>
      </c>
      <c r="O44" s="7" t="str">
        <f t="shared" si="16"/>
        <v>1202,10,5</v>
      </c>
      <c r="P44" s="7" t="str">
        <f t="shared" si="17"/>
        <v/>
      </c>
      <c r="Q44" s="7" t="str">
        <f t="shared" si="18"/>
        <v/>
      </c>
      <c r="R44" s="7" t="str">
        <f t="shared" si="19"/>
        <v>1202,10,5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1202,10</v>
      </c>
      <c r="J45" s="7" t="str">
        <f t="shared" si="13"/>
        <v>1202,10,6</v>
      </c>
      <c r="K45" s="7" t="str">
        <f t="shared" si="24"/>
        <v/>
      </c>
      <c r="L45" s="7" t="str">
        <f t="shared" si="14"/>
        <v/>
      </c>
      <c r="M45" s="7" t="str">
        <f t="shared" si="15"/>
        <v>1202,10,6</v>
      </c>
      <c r="N45" s="7" t="str">
        <f t="shared" si="24"/>
        <v>1202,10</v>
      </c>
      <c r="O45" s="7" t="str">
        <f t="shared" si="16"/>
        <v>1202,10,6</v>
      </c>
      <c r="P45" s="7" t="str">
        <f t="shared" si="17"/>
        <v/>
      </c>
      <c r="Q45" s="7" t="str">
        <f t="shared" si="18"/>
        <v/>
      </c>
      <c r="R45" s="7" t="str">
        <f t="shared" si="19"/>
        <v>1202,10,6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1202,10</v>
      </c>
      <c r="J46" s="7" t="str">
        <f t="shared" si="13"/>
        <v>1202,10,7</v>
      </c>
      <c r="K46" s="7" t="str">
        <f t="shared" si="25"/>
        <v/>
      </c>
      <c r="L46" s="7" t="str">
        <f t="shared" si="14"/>
        <v/>
      </c>
      <c r="M46" s="7" t="str">
        <f t="shared" si="15"/>
        <v>1202,10,7</v>
      </c>
      <c r="N46" s="7" t="str">
        <f t="shared" si="25"/>
        <v>1202,10</v>
      </c>
      <c r="O46" s="7" t="str">
        <f t="shared" si="16"/>
        <v>1202,10,7</v>
      </c>
      <c r="P46" s="7" t="str">
        <f t="shared" si="17"/>
        <v/>
      </c>
      <c r="Q46" s="7" t="str">
        <f t="shared" si="18"/>
        <v/>
      </c>
      <c r="R46" s="7" t="str">
        <f t="shared" si="19"/>
        <v>1202,10,7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1202,10</v>
      </c>
      <c r="J47" s="7" t="str">
        <f t="shared" si="13"/>
        <v>1202,10,8</v>
      </c>
      <c r="K47" s="7" t="str">
        <f t="shared" si="26"/>
        <v>1205,5</v>
      </c>
      <c r="L47" s="7" t="str">
        <f t="shared" si="14"/>
        <v>1205,5,8</v>
      </c>
      <c r="M47" s="7" t="str">
        <f t="shared" si="15"/>
        <v>1202,10,8;1205,5,8</v>
      </c>
      <c r="N47" s="7" t="str">
        <f t="shared" si="26"/>
        <v>1202,10</v>
      </c>
      <c r="O47" s="7" t="str">
        <f t="shared" si="16"/>
        <v>1202,10,8</v>
      </c>
      <c r="P47" s="7" t="str">
        <f t="shared" si="17"/>
        <v>1205,5</v>
      </c>
      <c r="Q47" s="7" t="str">
        <f t="shared" si="18"/>
        <v>1205,5,8</v>
      </c>
      <c r="R47" s="7" t="str">
        <f t="shared" si="19"/>
        <v>1202,10,8;1205,5,8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1202,15</v>
      </c>
      <c r="J48" s="7" t="str">
        <f t="shared" si="13"/>
        <v>1202,15,9</v>
      </c>
      <c r="K48" s="7" t="str">
        <f t="shared" si="27"/>
        <v/>
      </c>
      <c r="L48" s="7" t="str">
        <f t="shared" si="14"/>
        <v/>
      </c>
      <c r="M48" s="7" t="str">
        <f t="shared" si="15"/>
        <v>1202,15,9</v>
      </c>
      <c r="N48" s="7" t="str">
        <f t="shared" si="27"/>
        <v>1202,15</v>
      </c>
      <c r="O48" s="7" t="str">
        <f t="shared" si="16"/>
        <v>1202,15,9</v>
      </c>
      <c r="P48" s="7" t="str">
        <f t="shared" si="17"/>
        <v/>
      </c>
      <c r="Q48" s="7" t="str">
        <f t="shared" si="18"/>
        <v/>
      </c>
      <c r="R48" s="7" t="str">
        <f t="shared" si="19"/>
        <v>1202,15,9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1202,15</v>
      </c>
      <c r="J49" s="7" t="str">
        <f t="shared" si="13"/>
        <v>1202,15,10</v>
      </c>
      <c r="K49" s="7" t="str">
        <f t="shared" si="28"/>
        <v/>
      </c>
      <c r="L49" s="7" t="str">
        <f t="shared" si="14"/>
        <v/>
      </c>
      <c r="M49" s="7" t="str">
        <f t="shared" si="15"/>
        <v>1202,15,10</v>
      </c>
      <c r="N49" s="7" t="str">
        <f t="shared" si="28"/>
        <v>1202,15</v>
      </c>
      <c r="O49" s="7" t="str">
        <f t="shared" si="16"/>
        <v>1202,15,10</v>
      </c>
      <c r="P49" s="7" t="str">
        <f t="shared" si="17"/>
        <v/>
      </c>
      <c r="Q49" s="7" t="str">
        <f t="shared" si="18"/>
        <v/>
      </c>
      <c r="R49" s="7" t="str">
        <f t="shared" si="19"/>
        <v>1202,15,10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1203,15</v>
      </c>
      <c r="J50" s="7" t="str">
        <f t="shared" si="13"/>
        <v>1203,15,11</v>
      </c>
      <c r="K50" s="7" t="str">
        <f t="shared" si="29"/>
        <v/>
      </c>
      <c r="L50" s="7" t="str">
        <f t="shared" si="14"/>
        <v/>
      </c>
      <c r="M50" s="7" t="str">
        <f t="shared" si="15"/>
        <v>1203,15,11</v>
      </c>
      <c r="N50" s="7" t="str">
        <f t="shared" si="29"/>
        <v>1203,15</v>
      </c>
      <c r="O50" s="7" t="str">
        <f t="shared" si="16"/>
        <v>1203,15,11</v>
      </c>
      <c r="P50" s="7" t="str">
        <f t="shared" si="17"/>
        <v/>
      </c>
      <c r="Q50" s="7" t="str">
        <f t="shared" si="18"/>
        <v/>
      </c>
      <c r="R50" s="7" t="str">
        <f t="shared" si="19"/>
        <v>1203,15,11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1203,15</v>
      </c>
      <c r="J51" s="7" t="str">
        <f t="shared" si="13"/>
        <v>1203,15,12</v>
      </c>
      <c r="K51" s="7" t="str">
        <f t="shared" si="30"/>
        <v>1206,1</v>
      </c>
      <c r="L51" s="7" t="str">
        <f t="shared" si="14"/>
        <v>1206,1,12</v>
      </c>
      <c r="M51" s="7" t="str">
        <f t="shared" si="15"/>
        <v>1203,15,12;1206,1,12</v>
      </c>
      <c r="N51" s="7" t="str">
        <f t="shared" si="30"/>
        <v>1203,15</v>
      </c>
      <c r="O51" s="7" t="str">
        <f t="shared" si="16"/>
        <v>1203,15,12</v>
      </c>
      <c r="P51" s="7" t="str">
        <f t="shared" si="17"/>
        <v>1206,1</v>
      </c>
      <c r="Q51" s="7" t="str">
        <f t="shared" si="18"/>
        <v>1206,1,12</v>
      </c>
      <c r="R51" s="7" t="str">
        <f t="shared" si="19"/>
        <v>1203,15,12;1206,1,12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1201,10,1|1201,10,2|1201,10,3|1201,10,4;1205,5,4|1202,10,5|1202,10,6|1202,10,7|1202,10,8;1205,5,8|1202,15,9|1202,15,10|1203,15,11|1203,15,12;1206,1,12</v>
      </c>
      <c r="N71" s="7"/>
      <c r="O71" s="7"/>
      <c r="P71" s="7"/>
      <c r="Q71" s="7"/>
      <c r="R71" s="15" t="str">
        <f>_xlfn.TEXTJOIN("|",TRUE,R40:R69)</f>
        <v>1201,10,1|1201,10,2|1201,10,3|1201,10,4;1205,5,4|1202,10,5|1202,10,6|1202,10,7|1202,10,8;1205,5,8|1202,15,9|1202,15,10|1203,15,11|1203,15,12;1206,1,12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5"/>
  <sheetViews>
    <sheetView workbookViewId="0">
      <pane xSplit="2" ySplit="8" topLeftCell="H9" activePane="bottomRight" state="frozen"/>
      <selection/>
      <selection pane="topRight"/>
      <selection pane="bottomLeft"/>
      <selection pane="bottomRight" activeCell="J41" sqref="J41"/>
    </sheetView>
  </sheetViews>
  <sheetFormatPr defaultColWidth="8.88888888888889" defaultRowHeight="13.8"/>
  <cols>
    <col min="1" max="1" width="11.9444444444444" style="7" customWidth="1"/>
    <col min="2" max="2" width="12.8888888888889" style="4" customWidth="1"/>
    <col min="3" max="3" width="9.66666666666667" customWidth="1"/>
    <col min="4" max="5" width="8.88888888888889" style="7"/>
    <col min="6" max="6" width="13.3333333333333" customWidth="1"/>
    <col min="7" max="7" width="12.4444444444444" style="4" customWidth="1"/>
    <col min="8" max="8" width="72.5" style="7" customWidth="1"/>
    <col min="9" max="9" width="13.5555555555556" customWidth="1"/>
    <col min="10" max="10" width="14.1111111111111" customWidth="1"/>
    <col min="11" max="11" width="37.1111111111111" style="7" customWidth="1"/>
    <col min="12" max="12" width="13.2222222222222" style="4" customWidth="1"/>
    <col min="13" max="13" width="18.6666666666667" style="4" customWidth="1"/>
    <col min="14" max="14" width="51.4444444444444" style="4" customWidth="1"/>
    <col min="15" max="15" width="41" style="4" customWidth="1"/>
    <col min="16" max="16" width="32.4444444444444" style="7" customWidth="1"/>
    <col min="17" max="17" width="10.6666666666667" style="7" customWidth="1"/>
    <col min="18" max="18" width="12.7777777777778" style="7" customWidth="1"/>
    <col min="19" max="19" width="16.4444444444444" style="7" customWidth="1"/>
    <col min="20" max="20" width="8.88888888888889" style="7"/>
    <col min="22" max="22" width="21.3888888888889" customWidth="1"/>
  </cols>
  <sheetData>
    <row r="1" spans="1:12">
      <c r="A1" s="35" t="s">
        <v>4</v>
      </c>
      <c r="B1" s="24" t="s">
        <v>219</v>
      </c>
      <c r="D1" s="35" t="s">
        <v>3</v>
      </c>
      <c r="E1" s="35" t="s">
        <v>220</v>
      </c>
      <c r="G1" s="35" t="s">
        <v>221</v>
      </c>
      <c r="H1" s="35">
        <v>25</v>
      </c>
      <c r="J1" s="56"/>
      <c r="K1" t="s">
        <v>222</v>
      </c>
      <c r="L1" s="7"/>
    </row>
    <row r="2" spans="1:12">
      <c r="A2" s="35" t="s">
        <v>20</v>
      </c>
      <c r="B2" s="35">
        <v>0.6</v>
      </c>
      <c r="D2" s="35" t="s">
        <v>19</v>
      </c>
      <c r="E2" s="35">
        <v>1</v>
      </c>
      <c r="G2" s="92"/>
      <c r="H2" s="57"/>
      <c r="J2" s="57"/>
      <c r="K2" s="7" t="s">
        <v>223</v>
      </c>
      <c r="L2" s="7"/>
    </row>
    <row r="3" spans="1:12">
      <c r="A3" s="35" t="s">
        <v>34</v>
      </c>
      <c r="B3" s="35">
        <v>0.75</v>
      </c>
      <c r="D3" s="35" t="s">
        <v>43</v>
      </c>
      <c r="E3" s="35">
        <v>1.2</v>
      </c>
      <c r="J3" s="57"/>
      <c r="K3" s="57"/>
      <c r="L3" s="7"/>
    </row>
    <row r="4" spans="1:12">
      <c r="A4" s="35" t="s">
        <v>82</v>
      </c>
      <c r="B4" s="35">
        <v>1.1</v>
      </c>
      <c r="D4" s="35" t="s">
        <v>224</v>
      </c>
      <c r="E4" s="35"/>
      <c r="L4" s="7"/>
    </row>
    <row r="5" spans="1:12">
      <c r="A5" s="35" t="s">
        <v>127</v>
      </c>
      <c r="B5" s="35">
        <v>1.5</v>
      </c>
      <c r="L5" s="7"/>
    </row>
    <row r="6" spans="1:12">
      <c r="A6" s="35" t="s">
        <v>225</v>
      </c>
      <c r="B6" s="35">
        <v>2</v>
      </c>
      <c r="L6" s="7"/>
    </row>
    <row r="7" spans="12:12">
      <c r="L7" s="7"/>
    </row>
    <row r="8" spans="12:20">
      <c r="L8" s="7"/>
      <c r="P8" s="7" t="s">
        <v>226</v>
      </c>
      <c r="Q8" s="7" t="s">
        <v>227</v>
      </c>
      <c r="R8" s="7" t="s">
        <v>228</v>
      </c>
      <c r="S8" s="7" t="s">
        <v>227</v>
      </c>
      <c r="T8" s="7" t="s">
        <v>228</v>
      </c>
    </row>
    <row r="9" spans="1:19">
      <c r="A9" s="35" t="s">
        <v>0</v>
      </c>
      <c r="B9" s="35" t="s">
        <v>1</v>
      </c>
      <c r="C9" s="35" t="s">
        <v>2</v>
      </c>
      <c r="D9" s="35" t="s">
        <v>3</v>
      </c>
      <c r="E9" s="35" t="s">
        <v>4</v>
      </c>
      <c r="F9" s="93" t="s">
        <v>229</v>
      </c>
      <c r="G9" s="35" t="s">
        <v>230</v>
      </c>
      <c r="H9" s="35" t="s">
        <v>231</v>
      </c>
      <c r="I9" s="35" t="s">
        <v>232</v>
      </c>
      <c r="J9" s="24" t="s">
        <v>233</v>
      </c>
      <c r="K9" s="24" t="s">
        <v>234</v>
      </c>
      <c r="L9" s="35" t="s">
        <v>235</v>
      </c>
      <c r="M9" s="24" t="s">
        <v>236</v>
      </c>
      <c r="N9" s="4" t="s">
        <v>237</v>
      </c>
      <c r="O9" s="4" t="s">
        <v>238</v>
      </c>
      <c r="S9" s="102"/>
    </row>
    <row r="10" s="25" customFormat="1" spans="1:29">
      <c r="A10" s="42">
        <v>1</v>
      </c>
      <c r="B10" s="42" t="s">
        <v>17</v>
      </c>
      <c r="C10" s="42" t="s">
        <v>18</v>
      </c>
      <c r="D10" s="42" t="s">
        <v>19</v>
      </c>
      <c r="E10" s="42" t="s">
        <v>20</v>
      </c>
      <c r="F10" s="94" t="s">
        <v>21</v>
      </c>
      <c r="G10" s="95">
        <v>1</v>
      </c>
      <c r="H10" s="96" t="str">
        <f>_xlfn.CONCAT(U10:AA10)</f>
        <v>&lt;b&gt;&lt;size=20&gt;&lt;outline color=#3D3D3D width=2&gt;&lt;color=#ffffff&gt;获得弹弓！可以发射&lt;/color&gt;&lt;color=#5DFE61&gt;石头&lt;/color&gt;&lt;/outline&gt;&lt;/size&gt;&lt;/b&gt;</v>
      </c>
      <c r="I10" s="42">
        <v>0</v>
      </c>
      <c r="J10" s="95">
        <f>$H$1*G10*INDEX($E$2:$E$7,MATCH(D10,$D$2:$D$7,0))/F10*INDEX($B$2:$B$6,MATCH(E10,$A$2:$A$6,0))/0.5</f>
        <v>30</v>
      </c>
      <c r="K10" s="42">
        <v>1</v>
      </c>
      <c r="L10" s="42">
        <f>K10/G10*5</f>
        <v>5</v>
      </c>
      <c r="M10" s="95">
        <f>L10*F10</f>
        <v>5</v>
      </c>
      <c r="N10" s="11" t="str">
        <f>_xlfn.TEXTJOIN(",",TRUE,技能系数!A18:A28)</f>
        <v>101,102,103,111,112,113,114,121,122,123,124</v>
      </c>
      <c r="O10" s="11" t="str">
        <f>_xlfn.TEXTJOIN(";",TRUE,T39:Y39)</f>
        <v>1,131;2,132;3,141;4,142;5,151;6,152</v>
      </c>
      <c r="P10" s="7" t="s">
        <v>239</v>
      </c>
      <c r="Q10" s="103" t="s">
        <v>240</v>
      </c>
      <c r="R10" s="12"/>
      <c r="S10" s="12"/>
      <c r="T10" s="12"/>
      <c r="U10" t="s">
        <v>241</v>
      </c>
      <c r="V10" s="4" t="str">
        <f>IF(P10="","","&lt;color=#ffffff&gt;"&amp;P10&amp;"&lt;/color&gt;")</f>
        <v>&lt;color=#ffffff&gt;获得弹弓！可以发射&lt;/color&gt;</v>
      </c>
      <c r="W10" t="str">
        <f>IF(Q10="","","&lt;color=#5DFE61&gt;"&amp;Q10&amp;"&lt;/color&gt;")</f>
        <v>&lt;color=#5DFE61&gt;石头&lt;/color&gt;</v>
      </c>
      <c r="X10" s="4" t="str">
        <f>IF(R10="","","&lt;color=#ffffff&gt;"&amp;R10&amp;"&lt;/color&gt;")</f>
        <v/>
      </c>
      <c r="Y10" t="str">
        <f>IF(S10="","","&lt;color=#5DFE61&gt;"&amp;S10&amp;"&lt;/color&gt;")</f>
        <v/>
      </c>
      <c r="Z10" s="4" t="str">
        <f>IF(T10="","","&lt;color=#ffffff&gt;"&amp;T10&amp;"&lt;/color&gt;")</f>
        <v/>
      </c>
      <c r="AA10" t="s">
        <v>242</v>
      </c>
      <c r="AB10"/>
      <c r="AC10"/>
    </row>
    <row r="11" s="25" customFormat="1" spans="1:27">
      <c r="A11" s="42">
        <v>2</v>
      </c>
      <c r="B11" s="42" t="s">
        <v>32</v>
      </c>
      <c r="C11" s="42" t="s">
        <v>33</v>
      </c>
      <c r="D11" s="42" t="s">
        <v>19</v>
      </c>
      <c r="E11" s="42" t="s">
        <v>20</v>
      </c>
      <c r="F11" s="94" t="s">
        <v>21</v>
      </c>
      <c r="G11" s="95">
        <v>2</v>
      </c>
      <c r="H11" s="96" t="str">
        <f t="shared" ref="H11:H29" si="0">_xlfn.CONCAT(U11:AA11)</f>
        <v>&lt;b&gt;&lt;size=20&gt;&lt;outline color=#3D3D3D width=2&gt;&lt;color=#ffffff&gt;获得武器标枪，投射标枪造成&lt;/color&gt;&lt;color=#5DFE61&gt;巨额伤害&lt;/color&gt;&lt;/outline&gt;&lt;/size&gt;&lt;/b&gt;</v>
      </c>
      <c r="I11" s="42">
        <v>0</v>
      </c>
      <c r="J11" s="95">
        <f t="shared" ref="J11:J25" si="1">$H$1*G11*INDEX($E$2:$E$7,MATCH(D11,$D$2:$D$7,0))/F11*INDEX($B$2:$B$6,MATCH(E11,$A$2:$A$6,0))/0.5</f>
        <v>60</v>
      </c>
      <c r="K11" s="42">
        <f t="shared" ref="K11:K29" si="2">ROUND(J11/10,0)</f>
        <v>6</v>
      </c>
      <c r="L11" s="42">
        <f t="shared" ref="L11:L29" si="3">K11/G11*5</f>
        <v>15</v>
      </c>
      <c r="M11" s="95">
        <f t="shared" ref="M11:M29" si="4">L11*F11</f>
        <v>15</v>
      </c>
      <c r="N11" s="11" t="str">
        <f>_xlfn.TEXTJOIN(",",TRUE,技能系数!A35:A45)</f>
        <v>201,202,203,211,212,213,214,221,222,223,224</v>
      </c>
      <c r="O11" s="11" t="str">
        <f t="shared" ref="O11:O29" si="5">_xlfn.TEXTJOIN(";",TRUE,T40:Y40)</f>
        <v>1,231;2,232;3,241;4,242;5,251;6,252</v>
      </c>
      <c r="P11" s="12" t="s">
        <v>243</v>
      </c>
      <c r="Q11" s="12" t="s">
        <v>244</v>
      </c>
      <c r="R11" s="12"/>
      <c r="S11" s="12"/>
      <c r="T11" s="12"/>
      <c r="U11" t="s">
        <v>241</v>
      </c>
      <c r="V11" s="4" t="str">
        <f t="shared" ref="V11:V29" si="6">IF(P11="","","&lt;color=#ffffff&gt;"&amp;P11&amp;"&lt;/color&gt;")</f>
        <v>&lt;color=#ffffff&gt;获得武器标枪，投射标枪造成&lt;/color&gt;</v>
      </c>
      <c r="W11" t="str">
        <f t="shared" ref="W11:W29" si="7">IF(Q11="","","&lt;color=#5DFE61&gt;"&amp;Q11&amp;"&lt;/color&gt;")</f>
        <v>&lt;color=#5DFE61&gt;巨额伤害&lt;/color&gt;</v>
      </c>
      <c r="X11" s="4" t="str">
        <f t="shared" ref="X11:X29" si="8">IF(R11="","","&lt;color=#ffffff&gt;"&amp;R11&amp;"&lt;/color&gt;")</f>
        <v/>
      </c>
      <c r="Y11" t="str">
        <f t="shared" ref="Y11:Y29" si="9">IF(S11="","","&lt;color=#5DFE61&gt;"&amp;S11&amp;"&lt;/color&gt;")</f>
        <v/>
      </c>
      <c r="Z11" s="4" t="str">
        <f t="shared" ref="Z11:Z29" si="10">IF(T11="","","&lt;color=#ffffff&gt;"&amp;T11&amp;"&lt;/color&gt;")</f>
        <v/>
      </c>
      <c r="AA11" t="s">
        <v>242</v>
      </c>
    </row>
    <row r="12" s="25" customFormat="1" spans="1:27">
      <c r="A12" s="42">
        <v>3</v>
      </c>
      <c r="B12" s="42" t="s">
        <v>41</v>
      </c>
      <c r="C12" s="42" t="s">
        <v>42</v>
      </c>
      <c r="D12" s="42" t="s">
        <v>43</v>
      </c>
      <c r="E12" s="42" t="s">
        <v>34</v>
      </c>
      <c r="F12" s="94" t="s">
        <v>245</v>
      </c>
      <c r="G12" s="95">
        <v>1.5</v>
      </c>
      <c r="H12" s="96" t="str">
        <f t="shared" si="0"/>
        <v>&lt;b&gt;&lt;size=20&gt;&lt;outline color=#3D3D3D width=2&gt;&lt;color=#ffffff&gt;获得武器长弓，可以同时攻击&lt;/color&gt;&lt;color=#5DFE61&gt;2个&lt;/color&gt;&lt;color=#ffffff&gt;敌人！&lt;/color&gt;&lt;/outline&gt;&lt;/size&gt;&lt;/b&gt;</v>
      </c>
      <c r="I12" s="42">
        <v>0</v>
      </c>
      <c r="J12" s="95">
        <f t="shared" si="1"/>
        <v>33.75</v>
      </c>
      <c r="K12" s="42">
        <f t="shared" si="2"/>
        <v>3</v>
      </c>
      <c r="L12" s="42">
        <f t="shared" si="3"/>
        <v>10</v>
      </c>
      <c r="M12" s="95">
        <f t="shared" si="4"/>
        <v>20</v>
      </c>
      <c r="N12" s="11" t="str">
        <f>_xlfn.TEXTJOIN(",",TRUE,技能系数!A52:A62)</f>
        <v>301,302,303,311,312,313,314,321,322,323,324</v>
      </c>
      <c r="O12" s="11" t="str">
        <f t="shared" si="5"/>
        <v>1,331;2,332;3,341;4,342;5,351;6,352</v>
      </c>
      <c r="P12" s="12" t="s">
        <v>246</v>
      </c>
      <c r="Q12" s="12" t="s">
        <v>247</v>
      </c>
      <c r="R12" s="12" t="s">
        <v>248</v>
      </c>
      <c r="S12" s="12"/>
      <c r="T12" s="12"/>
      <c r="U12" t="s">
        <v>241</v>
      </c>
      <c r="V12" s="4" t="str">
        <f t="shared" si="6"/>
        <v>&lt;color=#ffffff&gt;获得武器长弓，可以同时攻击&lt;/color&gt;</v>
      </c>
      <c r="W12" t="str">
        <f t="shared" si="7"/>
        <v>&lt;color=#5DFE61&gt;2个&lt;/color&gt;</v>
      </c>
      <c r="X12" s="4" t="str">
        <f t="shared" si="8"/>
        <v>&lt;color=#ffffff&gt;敌人！&lt;/color&gt;</v>
      </c>
      <c r="Y12" t="str">
        <f t="shared" si="9"/>
        <v/>
      </c>
      <c r="Z12" s="4" t="str">
        <f t="shared" si="10"/>
        <v/>
      </c>
      <c r="AA12" t="s">
        <v>242</v>
      </c>
    </row>
    <row r="13" s="25" customFormat="1" spans="1:27">
      <c r="A13" s="42">
        <v>4</v>
      </c>
      <c r="B13" s="42" t="s">
        <v>50</v>
      </c>
      <c r="C13" s="42" t="s">
        <v>18</v>
      </c>
      <c r="D13" s="42" t="s">
        <v>19</v>
      </c>
      <c r="E13" s="42" t="s">
        <v>20</v>
      </c>
      <c r="F13" s="94" t="s">
        <v>21</v>
      </c>
      <c r="G13" s="95">
        <v>2</v>
      </c>
      <c r="H13" s="96" t="str">
        <f t="shared" si="0"/>
        <v>&lt;b&gt;&lt;size=20&gt;&lt;outline color=#3D3D3D width=2&gt;&lt;color=#ffffff&gt;获得武器石斧，朝敌人投掷&lt;/color&gt;&lt;color=#5DFE61&gt;石斧&lt;/color&gt;&lt;color=#ffffff&gt;攻击&lt;/color&gt;&lt;/outline&gt;&lt;/size&gt;&lt;/b&gt;</v>
      </c>
      <c r="I13" s="42">
        <v>0</v>
      </c>
      <c r="J13" s="95">
        <f t="shared" si="1"/>
        <v>60</v>
      </c>
      <c r="K13" s="42">
        <f t="shared" si="2"/>
        <v>6</v>
      </c>
      <c r="L13" s="42">
        <f t="shared" si="3"/>
        <v>15</v>
      </c>
      <c r="M13" s="95">
        <f t="shared" si="4"/>
        <v>15</v>
      </c>
      <c r="N13" s="11" t="str">
        <f>_xlfn.TEXTJOIN(",",TRUE,技能系数!A69:A79)</f>
        <v>401,402,403,411,412,413,414,421,422,423,424</v>
      </c>
      <c r="O13" s="11" t="str">
        <f t="shared" si="5"/>
        <v>1,431;2,432;3,441;4,442;5,451;6,452</v>
      </c>
      <c r="P13" s="12" t="s">
        <v>249</v>
      </c>
      <c r="Q13" s="12" t="s">
        <v>50</v>
      </c>
      <c r="R13" s="12" t="s">
        <v>250</v>
      </c>
      <c r="S13" s="12"/>
      <c r="T13" s="12"/>
      <c r="U13" t="s">
        <v>241</v>
      </c>
      <c r="V13" s="4" t="str">
        <f t="shared" si="6"/>
        <v>&lt;color=#ffffff&gt;获得武器石斧，朝敌人投掷&lt;/color&gt;</v>
      </c>
      <c r="W13" t="str">
        <f t="shared" si="7"/>
        <v>&lt;color=#5DFE61&gt;石斧&lt;/color&gt;</v>
      </c>
      <c r="X13" s="4" t="str">
        <f t="shared" si="8"/>
        <v>&lt;color=#ffffff&gt;攻击&lt;/color&gt;</v>
      </c>
      <c r="Y13" t="str">
        <f t="shared" si="9"/>
        <v/>
      </c>
      <c r="Z13" s="4" t="str">
        <f t="shared" si="10"/>
        <v/>
      </c>
      <c r="AA13" t="s">
        <v>242</v>
      </c>
    </row>
    <row r="14" s="25" customFormat="1" spans="1:27">
      <c r="A14" s="42">
        <v>5</v>
      </c>
      <c r="B14" s="42" t="s">
        <v>55</v>
      </c>
      <c r="C14" s="42" t="s">
        <v>56</v>
      </c>
      <c r="D14" s="42" t="s">
        <v>43</v>
      </c>
      <c r="E14" s="42" t="s">
        <v>34</v>
      </c>
      <c r="F14" s="94" t="s">
        <v>245</v>
      </c>
      <c r="G14" s="95">
        <v>3</v>
      </c>
      <c r="H14" s="96" t="str">
        <f t="shared" si="0"/>
        <v>&lt;b&gt;&lt;size=20&gt;&lt;outline color=#3D3D3D width=2&gt;&lt;color=#ffffff&gt;获得武器回旋镖，丢出&lt;/color&gt;&lt;color=#5DFE61&gt;回旋镖&lt;/color&gt;&lt;color=#ffffff&gt;攻击敌人，击中后会弹射&lt;/color&gt;&lt;color=#5DFE61&gt;1次&lt;/color&gt;&lt;/outline&gt;&lt;/size&gt;&lt;/b&gt;</v>
      </c>
      <c r="I14" s="42">
        <v>0</v>
      </c>
      <c r="J14" s="95">
        <f t="shared" si="1"/>
        <v>67.5</v>
      </c>
      <c r="K14" s="42">
        <f t="shared" si="2"/>
        <v>7</v>
      </c>
      <c r="L14" s="42">
        <f t="shared" si="3"/>
        <v>11.6666666666667</v>
      </c>
      <c r="M14" s="95">
        <f t="shared" si="4"/>
        <v>23.3333333333333</v>
      </c>
      <c r="N14" s="11" t="str">
        <f>_xlfn.TEXTJOIN(",",TRUE,技能系数!A86:A96)</f>
        <v>501,502,503,511,512,513,514,521,522,523,524</v>
      </c>
      <c r="O14" s="11" t="str">
        <f t="shared" si="5"/>
        <v>1,531;2,532;3,541;4,542;5,551;6,552</v>
      </c>
      <c r="P14" s="12" t="s">
        <v>251</v>
      </c>
      <c r="Q14" s="12" t="s">
        <v>55</v>
      </c>
      <c r="R14" s="12" t="s">
        <v>252</v>
      </c>
      <c r="S14" s="12" t="s">
        <v>253</v>
      </c>
      <c r="T14" s="12"/>
      <c r="U14" t="s">
        <v>241</v>
      </c>
      <c r="V14" s="4" t="str">
        <f t="shared" si="6"/>
        <v>&lt;color=#ffffff&gt;获得武器回旋镖，丢出&lt;/color&gt;</v>
      </c>
      <c r="W14" t="str">
        <f t="shared" si="7"/>
        <v>&lt;color=#5DFE61&gt;回旋镖&lt;/color&gt;</v>
      </c>
      <c r="X14" s="4" t="str">
        <f t="shared" si="8"/>
        <v>&lt;color=#ffffff&gt;攻击敌人，击中后会弹射&lt;/color&gt;</v>
      </c>
      <c r="Y14" t="str">
        <f t="shared" si="9"/>
        <v>&lt;color=#5DFE61&gt;1次&lt;/color&gt;</v>
      </c>
      <c r="Z14" s="4" t="str">
        <f t="shared" si="10"/>
        <v/>
      </c>
      <c r="AA14" t="s">
        <v>242</v>
      </c>
    </row>
    <row r="15" s="25" customFormat="1" spans="1:27">
      <c r="A15" s="42">
        <v>6</v>
      </c>
      <c r="B15" s="42" t="s">
        <v>63</v>
      </c>
      <c r="C15" s="42" t="s">
        <v>33</v>
      </c>
      <c r="D15" s="42" t="s">
        <v>19</v>
      </c>
      <c r="E15" s="42" t="s">
        <v>34</v>
      </c>
      <c r="F15" s="94" t="s">
        <v>21</v>
      </c>
      <c r="G15" s="95">
        <v>2</v>
      </c>
      <c r="H15" s="96" t="str">
        <f t="shared" si="0"/>
        <v>&lt;b&gt;&lt;size=20&gt;&lt;outline color=#3D3D3D width=2&gt;&lt;color=#ffffff&gt;获得武器飞剑，朝目标发射&lt;/color&gt;&lt;color=#5DFE61&gt;飞剑&lt;/color&gt;&lt;color=#ffffff&gt;攻击&lt;/color&gt;&lt;/outline&gt;&lt;/size&gt;&lt;/b&gt;</v>
      </c>
      <c r="I15" s="42">
        <v>0</v>
      </c>
      <c r="J15" s="95">
        <f t="shared" si="1"/>
        <v>75</v>
      </c>
      <c r="K15" s="42">
        <f t="shared" si="2"/>
        <v>8</v>
      </c>
      <c r="L15" s="42">
        <f t="shared" si="3"/>
        <v>20</v>
      </c>
      <c r="M15" s="95">
        <f t="shared" si="4"/>
        <v>20</v>
      </c>
      <c r="N15" s="11" t="str">
        <f>_xlfn.TEXTJOIN(",",TRUE,技能系数!A103:A113)</f>
        <v>601,602,603,611,612,613,614,621,622,623,624</v>
      </c>
      <c r="O15" s="11" t="str">
        <f t="shared" si="5"/>
        <v>1,631;2,632;3,641;4,642;5,651;6,652</v>
      </c>
      <c r="P15" s="12" t="s">
        <v>254</v>
      </c>
      <c r="Q15" s="12" t="s">
        <v>63</v>
      </c>
      <c r="R15" s="12" t="s">
        <v>250</v>
      </c>
      <c r="S15" s="12"/>
      <c r="T15" s="12"/>
      <c r="U15" t="s">
        <v>241</v>
      </c>
      <c r="V15" s="4" t="str">
        <f t="shared" si="6"/>
        <v>&lt;color=#ffffff&gt;获得武器飞剑，朝目标发射&lt;/color&gt;</v>
      </c>
      <c r="W15" t="str">
        <f t="shared" si="7"/>
        <v>&lt;color=#5DFE61&gt;飞剑&lt;/color&gt;</v>
      </c>
      <c r="X15" s="4" t="str">
        <f t="shared" si="8"/>
        <v>&lt;color=#ffffff&gt;攻击&lt;/color&gt;</v>
      </c>
      <c r="Y15" t="str">
        <f t="shared" si="9"/>
        <v/>
      </c>
      <c r="Z15" s="4" t="str">
        <f t="shared" si="10"/>
        <v/>
      </c>
      <c r="AA15" t="s">
        <v>242</v>
      </c>
    </row>
    <row r="16" s="25" customFormat="1" spans="1:27">
      <c r="A16" s="42">
        <v>7</v>
      </c>
      <c r="B16" s="42" t="s">
        <v>69</v>
      </c>
      <c r="C16" s="42" t="s">
        <v>56</v>
      </c>
      <c r="D16" s="42" t="s">
        <v>19</v>
      </c>
      <c r="E16" s="42" t="s">
        <v>34</v>
      </c>
      <c r="F16" s="94" t="s">
        <v>21</v>
      </c>
      <c r="G16" s="95">
        <v>1.5</v>
      </c>
      <c r="H16" s="96" t="str">
        <f t="shared" si="0"/>
        <v>&lt;b&gt;&lt;size=20&gt;&lt;outline color=#3D3D3D width=2&gt;&lt;color=#ffffff&gt;获得武器法杖，朝目标发射&lt;/color&gt;&lt;color=#5DFE61&gt;冰锥&lt;/color&gt;&lt;color=#ffffff&gt;攻击&lt;/color&gt;&lt;/outline&gt;&lt;/size&gt;&lt;/b&gt;</v>
      </c>
      <c r="I16" s="42">
        <v>0</v>
      </c>
      <c r="J16" s="95">
        <f t="shared" si="1"/>
        <v>56.25</v>
      </c>
      <c r="K16" s="42">
        <f t="shared" si="2"/>
        <v>6</v>
      </c>
      <c r="L16" s="42">
        <f t="shared" si="3"/>
        <v>20</v>
      </c>
      <c r="M16" s="95">
        <f t="shared" si="4"/>
        <v>20</v>
      </c>
      <c r="N16" s="11" t="str">
        <f>_xlfn.TEXTJOIN(",",TRUE,技能系数!A120:A130)</f>
        <v>701,702,703,711,712,713,714,721,722,723,724</v>
      </c>
      <c r="O16" s="11" t="str">
        <f t="shared" si="5"/>
        <v>1,731;2,732;3,741;4,742;5,751;6,752</v>
      </c>
      <c r="P16" s="12" t="s">
        <v>255</v>
      </c>
      <c r="Q16" s="12" t="s">
        <v>256</v>
      </c>
      <c r="R16" s="12" t="s">
        <v>250</v>
      </c>
      <c r="S16" s="12"/>
      <c r="T16" s="12"/>
      <c r="U16" t="s">
        <v>241</v>
      </c>
      <c r="V16" s="4" t="str">
        <f t="shared" si="6"/>
        <v>&lt;color=#ffffff&gt;获得武器法杖，朝目标发射&lt;/color&gt;</v>
      </c>
      <c r="W16" t="str">
        <f t="shared" si="7"/>
        <v>&lt;color=#5DFE61&gt;冰锥&lt;/color&gt;</v>
      </c>
      <c r="X16" s="4" t="str">
        <f t="shared" si="8"/>
        <v>&lt;color=#ffffff&gt;攻击&lt;/color&gt;</v>
      </c>
      <c r="Y16" t="str">
        <f t="shared" si="9"/>
        <v/>
      </c>
      <c r="Z16" s="4" t="str">
        <f t="shared" si="10"/>
        <v/>
      </c>
      <c r="AA16" t="s">
        <v>242</v>
      </c>
    </row>
    <row r="17" s="25" customFormat="1" spans="1:27">
      <c r="A17" s="42">
        <v>8</v>
      </c>
      <c r="B17" s="42" t="s">
        <v>75</v>
      </c>
      <c r="C17" s="42" t="s">
        <v>42</v>
      </c>
      <c r="D17" s="42" t="s">
        <v>43</v>
      </c>
      <c r="E17" s="42" t="s">
        <v>34</v>
      </c>
      <c r="F17" s="94" t="s">
        <v>135</v>
      </c>
      <c r="G17" s="95">
        <v>2.5</v>
      </c>
      <c r="H17" s="96" t="str">
        <f t="shared" si="0"/>
        <v>&lt;b&gt;&lt;size=20&gt;&lt;outline color=#3D3D3D width=2&gt;&lt;color=#ffffff&gt;获得武器符文塔，发射&lt;/color&gt;&lt;color=#5DFE61&gt;符文&lt;/color&gt;&lt;color=#ffffff&gt;攻击敌人&lt;/color&gt;&lt;/outline&gt;&lt;/size&gt;&lt;/b&gt;</v>
      </c>
      <c r="I17" s="42">
        <v>0</v>
      </c>
      <c r="J17" s="95">
        <f t="shared" si="1"/>
        <v>37.5</v>
      </c>
      <c r="K17" s="42">
        <f t="shared" si="2"/>
        <v>4</v>
      </c>
      <c r="L17" s="42">
        <f t="shared" si="3"/>
        <v>8</v>
      </c>
      <c r="M17" s="95">
        <f t="shared" si="4"/>
        <v>24</v>
      </c>
      <c r="N17" s="11" t="str">
        <f>_xlfn.TEXTJOIN(",",TRUE,技能系数!A137:A147)</f>
        <v>801,802,803,811,812,813,814,821,822,823,824</v>
      </c>
      <c r="O17" s="11" t="str">
        <f t="shared" si="5"/>
        <v>1,831;2,832;3,841;4,842;5,851;6,852</v>
      </c>
      <c r="P17" s="12" t="s">
        <v>257</v>
      </c>
      <c r="Q17" s="12" t="s">
        <v>258</v>
      </c>
      <c r="R17" s="12" t="s">
        <v>259</v>
      </c>
      <c r="S17" s="12"/>
      <c r="T17" s="12"/>
      <c r="U17" t="s">
        <v>241</v>
      </c>
      <c r="V17" s="4" t="str">
        <f t="shared" si="6"/>
        <v>&lt;color=#ffffff&gt;获得武器符文塔，发射&lt;/color&gt;</v>
      </c>
      <c r="W17" t="str">
        <f t="shared" si="7"/>
        <v>&lt;color=#5DFE61&gt;符文&lt;/color&gt;</v>
      </c>
      <c r="X17" s="4" t="str">
        <f t="shared" si="8"/>
        <v>&lt;color=#ffffff&gt;攻击敌人&lt;/color&gt;</v>
      </c>
      <c r="Y17" t="str">
        <f t="shared" si="9"/>
        <v/>
      </c>
      <c r="Z17" s="4" t="str">
        <f t="shared" si="10"/>
        <v/>
      </c>
      <c r="AA17" t="s">
        <v>242</v>
      </c>
    </row>
    <row r="18" s="91" customFormat="1" spans="1:29">
      <c r="A18" s="97">
        <v>9</v>
      </c>
      <c r="B18" s="97" t="s">
        <v>81</v>
      </c>
      <c r="C18" s="97" t="s">
        <v>18</v>
      </c>
      <c r="D18" s="97" t="s">
        <v>19</v>
      </c>
      <c r="E18" s="97" t="s">
        <v>82</v>
      </c>
      <c r="F18" s="98" t="s">
        <v>21</v>
      </c>
      <c r="G18" s="99">
        <v>0.8</v>
      </c>
      <c r="H18" s="96" t="str">
        <f t="shared" si="0"/>
        <v>&lt;b&gt;&lt;size=20&gt;&lt;outline color=#3D3D3D width=2&gt;&lt;color=#ffffff&gt;获得武器突击步枪，射速&lt;/color&gt;&lt;color=#5DFE61&gt;极快！&lt;/color&gt;&lt;/outline&gt;&lt;/size&gt;&lt;/b&gt;</v>
      </c>
      <c r="I18" s="97">
        <v>0</v>
      </c>
      <c r="J18" s="95">
        <f t="shared" si="1"/>
        <v>44</v>
      </c>
      <c r="K18" s="42">
        <f t="shared" si="2"/>
        <v>4</v>
      </c>
      <c r="L18" s="42">
        <f t="shared" si="3"/>
        <v>25</v>
      </c>
      <c r="M18" s="95">
        <f t="shared" si="4"/>
        <v>25</v>
      </c>
      <c r="N18" s="11" t="str">
        <f>_xlfn.TEXTJOIN(",",TRUE,技能系数!A154:A164)</f>
        <v>901,902,903,911,912,913,914,921,922,923,924</v>
      </c>
      <c r="O18" s="11" t="str">
        <f t="shared" si="5"/>
        <v>1,931;2,932;3,941;4,942;5,951;6,952</v>
      </c>
      <c r="P18" s="12" t="s">
        <v>260</v>
      </c>
      <c r="Q18" s="12" t="s">
        <v>261</v>
      </c>
      <c r="R18" s="101"/>
      <c r="S18" s="101"/>
      <c r="T18" s="101"/>
      <c r="U18" t="s">
        <v>241</v>
      </c>
      <c r="V18" s="4" t="str">
        <f t="shared" si="6"/>
        <v>&lt;color=#ffffff&gt;获得武器突击步枪，射速&lt;/color&gt;</v>
      </c>
      <c r="W18" t="str">
        <f t="shared" si="7"/>
        <v>&lt;color=#5DFE61&gt;极快！&lt;/color&gt;</v>
      </c>
      <c r="X18" s="4" t="str">
        <f t="shared" si="8"/>
        <v/>
      </c>
      <c r="Y18" t="str">
        <f t="shared" si="9"/>
        <v/>
      </c>
      <c r="Z18" s="4" t="str">
        <f t="shared" si="10"/>
        <v/>
      </c>
      <c r="AA18" t="s">
        <v>242</v>
      </c>
      <c r="AB18" s="25"/>
      <c r="AC18" s="25"/>
    </row>
    <row r="19" s="91" customFormat="1" spans="1:27">
      <c r="A19" s="97">
        <v>10</v>
      </c>
      <c r="B19" s="97" t="s">
        <v>87</v>
      </c>
      <c r="C19" s="97" t="s">
        <v>56</v>
      </c>
      <c r="D19" s="97" t="s">
        <v>43</v>
      </c>
      <c r="E19" s="97" t="s">
        <v>82</v>
      </c>
      <c r="F19" s="98" t="s">
        <v>135</v>
      </c>
      <c r="G19" s="99">
        <v>3</v>
      </c>
      <c r="H19" s="96" t="str">
        <f t="shared" si="0"/>
        <v>&lt;b&gt;&lt;size=20&gt;&lt;outline color=#3D3D3D width=2&gt;&lt;color=#ffffff&gt;获得武器大炮，击中敌人会&lt;/color&gt;&lt;color=#5DFE61&gt;爆炸&lt;/color&gt;&lt;color=#ffffff&gt;，造成&lt;/color&gt;&lt;color=#5DFE61&gt;范围伤害&lt;/color&gt;&lt;/outline&gt;&lt;/size&gt;&lt;/b&gt;</v>
      </c>
      <c r="I19" s="97">
        <v>0</v>
      </c>
      <c r="J19" s="95">
        <f t="shared" si="1"/>
        <v>66</v>
      </c>
      <c r="K19" s="42">
        <f t="shared" si="2"/>
        <v>7</v>
      </c>
      <c r="L19" s="42">
        <f t="shared" si="3"/>
        <v>11.6666666666667</v>
      </c>
      <c r="M19" s="95">
        <f t="shared" si="4"/>
        <v>35</v>
      </c>
      <c r="N19" s="11" t="str">
        <f>_xlfn.TEXTJOIN(",",TRUE,技能系数!A171:A181)</f>
        <v>1001,1002,1003,1011,1012,1013,1014,1021,1022,1023,1024</v>
      </c>
      <c r="O19" s="11" t="str">
        <f t="shared" si="5"/>
        <v>1,1031;2,1032;3,1041;4,1042;5,1051;6,1052</v>
      </c>
      <c r="P19" s="101" t="s">
        <v>262</v>
      </c>
      <c r="Q19" s="101" t="s">
        <v>263</v>
      </c>
      <c r="R19" s="101" t="s">
        <v>264</v>
      </c>
      <c r="S19" s="101" t="s">
        <v>265</v>
      </c>
      <c r="T19" s="101"/>
      <c r="U19" t="s">
        <v>241</v>
      </c>
      <c r="V19" s="4" t="str">
        <f t="shared" si="6"/>
        <v>&lt;color=#ffffff&gt;获得武器大炮，击中敌人会&lt;/color&gt;</v>
      </c>
      <c r="W19" t="str">
        <f t="shared" si="7"/>
        <v>&lt;color=#5DFE61&gt;爆炸&lt;/color&gt;</v>
      </c>
      <c r="X19" s="4" t="str">
        <f t="shared" si="8"/>
        <v>&lt;color=#ffffff&gt;，造成&lt;/color&gt;</v>
      </c>
      <c r="Y19" t="str">
        <f t="shared" si="9"/>
        <v>&lt;color=#5DFE61&gt;范围伤害&lt;/color&gt;</v>
      </c>
      <c r="Z19" s="4" t="str">
        <f t="shared" si="10"/>
        <v/>
      </c>
      <c r="AA19" t="s">
        <v>242</v>
      </c>
    </row>
    <row r="20" s="91" customFormat="1" spans="1:27">
      <c r="A20" s="97">
        <v>11</v>
      </c>
      <c r="B20" s="97" t="s">
        <v>93</v>
      </c>
      <c r="C20" s="97" t="s">
        <v>94</v>
      </c>
      <c r="D20" s="97" t="s">
        <v>43</v>
      </c>
      <c r="E20" s="97" t="s">
        <v>82</v>
      </c>
      <c r="F20" s="98" t="s">
        <v>135</v>
      </c>
      <c r="G20" s="99">
        <v>2</v>
      </c>
      <c r="H20" s="96" t="str">
        <f t="shared" si="0"/>
        <v>&lt;b&gt;&lt;size=20&gt;&lt;outline color=#3D3D3D width=2&gt;&lt;color=#ffffff&gt;获得武器手榴弹，击中敌人会&lt;/color&gt;&lt;color=#5DFE61&gt;爆炸&lt;/color&gt;&lt;color=#ffffff&gt;，造成&lt;/color&gt;&lt;color=#5DFE61&gt;范围伤害&lt;/color&gt;&lt;/outline&gt;&lt;/size&gt;&lt;/b&gt;</v>
      </c>
      <c r="I20" s="97">
        <v>0</v>
      </c>
      <c r="J20" s="95">
        <f t="shared" si="1"/>
        <v>44</v>
      </c>
      <c r="K20" s="42">
        <f t="shared" si="2"/>
        <v>4</v>
      </c>
      <c r="L20" s="42">
        <f t="shared" si="3"/>
        <v>10</v>
      </c>
      <c r="M20" s="95">
        <f t="shared" si="4"/>
        <v>30</v>
      </c>
      <c r="N20" s="11" t="str">
        <f>_xlfn.TEXTJOIN(",",TRUE,技能系数!A188:A198)</f>
        <v>1101,1102,1103,1111,1112,1113,1114,1121,1122,1123,1124</v>
      </c>
      <c r="O20" s="11" t="str">
        <f t="shared" si="5"/>
        <v>1,1131;2,1132;3,1141;4,1142;5,1151;6,1152</v>
      </c>
      <c r="P20" s="101" t="s">
        <v>266</v>
      </c>
      <c r="Q20" s="101" t="s">
        <v>263</v>
      </c>
      <c r="R20" s="101" t="s">
        <v>264</v>
      </c>
      <c r="S20" s="101" t="s">
        <v>265</v>
      </c>
      <c r="T20" s="101"/>
      <c r="U20" t="s">
        <v>241</v>
      </c>
      <c r="V20" s="4" t="str">
        <f t="shared" si="6"/>
        <v>&lt;color=#ffffff&gt;获得武器手榴弹，击中敌人会&lt;/color&gt;</v>
      </c>
      <c r="W20" t="str">
        <f t="shared" si="7"/>
        <v>&lt;color=#5DFE61&gt;爆炸&lt;/color&gt;</v>
      </c>
      <c r="X20" s="4" t="str">
        <f t="shared" si="8"/>
        <v>&lt;color=#ffffff&gt;，造成&lt;/color&gt;</v>
      </c>
      <c r="Y20" t="str">
        <f t="shared" si="9"/>
        <v>&lt;color=#5DFE61&gt;范围伤害&lt;/color&gt;</v>
      </c>
      <c r="Z20" s="4" t="str">
        <f t="shared" si="10"/>
        <v/>
      </c>
      <c r="AA20" t="s">
        <v>242</v>
      </c>
    </row>
    <row r="21" s="91" customFormat="1" spans="1:27">
      <c r="A21" s="97">
        <v>12</v>
      </c>
      <c r="B21" s="97" t="s">
        <v>98</v>
      </c>
      <c r="C21" s="97" t="s">
        <v>33</v>
      </c>
      <c r="D21" s="97" t="s">
        <v>19</v>
      </c>
      <c r="E21" s="97" t="s">
        <v>82</v>
      </c>
      <c r="F21" s="98" t="s">
        <v>21</v>
      </c>
      <c r="G21" s="99">
        <v>5</v>
      </c>
      <c r="H21" s="96" t="str">
        <f t="shared" si="0"/>
        <v>&lt;b&gt;&lt;size=20&gt;&lt;outline color=#3D3D3D width=2&gt;&lt;color=#ffffff&gt;获得武器激光器，朝目标发射&lt;/color&gt;&lt;color=#5DFE61&gt;激光&lt;/color&gt;&lt;color=#ffffff&gt;，&lt;/color&gt;&lt;color=#5DFE61&gt;持续&lt;/color&gt;&lt;color=#ffffff&gt;造成伤害&lt;/color&gt;&lt;/outline&gt;&lt;/size&gt;&lt;/b&gt;</v>
      </c>
      <c r="I21" s="97">
        <v>0</v>
      </c>
      <c r="J21" s="95">
        <f>$H$1*G21*INDEX($E$2:$E$7,MATCH(D21,$D$2:$D$7,0))/F21*INDEX($B$2:$B$6,MATCH(E21,$A$2:$A$6,0))/0.5/3</f>
        <v>91.6666666666667</v>
      </c>
      <c r="K21" s="42">
        <f t="shared" si="2"/>
        <v>9</v>
      </c>
      <c r="L21" s="42">
        <f t="shared" si="3"/>
        <v>9</v>
      </c>
      <c r="M21" s="95">
        <f t="shared" si="4"/>
        <v>9</v>
      </c>
      <c r="N21" s="11" t="str">
        <f>_xlfn.TEXTJOIN(",",TRUE,技能系数!A205:A215)</f>
        <v>1201,1202,1203,1211,1212,1213,1214,1221,1222,1223,1224</v>
      </c>
      <c r="O21" s="11" t="str">
        <f t="shared" si="5"/>
        <v>1,1231;2,1232;3,1241;4,1242;5,1251;6,1252</v>
      </c>
      <c r="P21" s="101" t="s">
        <v>267</v>
      </c>
      <c r="Q21" s="101" t="s">
        <v>268</v>
      </c>
      <c r="R21" s="101" t="s">
        <v>269</v>
      </c>
      <c r="S21" s="101" t="s">
        <v>270</v>
      </c>
      <c r="T21" s="101" t="s">
        <v>271</v>
      </c>
      <c r="U21" t="s">
        <v>241</v>
      </c>
      <c r="V21" s="4" t="str">
        <f t="shared" si="6"/>
        <v>&lt;color=#ffffff&gt;获得武器激光器，朝目标发射&lt;/color&gt;</v>
      </c>
      <c r="W21" t="str">
        <f t="shared" si="7"/>
        <v>&lt;color=#5DFE61&gt;激光&lt;/color&gt;</v>
      </c>
      <c r="X21" s="4" t="str">
        <f t="shared" si="8"/>
        <v>&lt;color=#ffffff&gt;，&lt;/color&gt;</v>
      </c>
      <c r="Y21" t="str">
        <f t="shared" si="9"/>
        <v>&lt;color=#5DFE61&gt;持续&lt;/color&gt;</v>
      </c>
      <c r="Z21" s="4" t="str">
        <f t="shared" si="10"/>
        <v>&lt;color=#ffffff&gt;造成伤害&lt;/color&gt;</v>
      </c>
      <c r="AA21" t="s">
        <v>242</v>
      </c>
    </row>
    <row r="22" s="91" customFormat="1" spans="1:27">
      <c r="A22" s="97">
        <v>13</v>
      </c>
      <c r="B22" s="97" t="s">
        <v>104</v>
      </c>
      <c r="C22" s="97" t="s">
        <v>94</v>
      </c>
      <c r="D22" s="97" t="s">
        <v>43</v>
      </c>
      <c r="E22" s="97" t="s">
        <v>82</v>
      </c>
      <c r="F22" s="98" t="s">
        <v>135</v>
      </c>
      <c r="G22" s="99">
        <v>5</v>
      </c>
      <c r="H22" s="96" t="str">
        <f t="shared" si="0"/>
        <v>&lt;b&gt;&lt;size=20&gt;&lt;outline color=#3D3D3D width=2&gt;&lt;color=#ffffff&gt;获得武器追踪导弹，击中敌人产生&lt;/color&gt;&lt;color=#5DFE61&gt;爆炸&lt;/color&gt;&lt;color=#ffffff&gt;，造成&lt;/color&gt;&lt;color=#5DFE61&gt;范围伤害&lt;/color&gt;&lt;/outline&gt;&lt;/size&gt;&lt;/b&gt;</v>
      </c>
      <c r="I22" s="97">
        <v>0</v>
      </c>
      <c r="J22" s="95">
        <f t="shared" si="1"/>
        <v>110</v>
      </c>
      <c r="K22" s="42">
        <f t="shared" si="2"/>
        <v>11</v>
      </c>
      <c r="L22" s="42">
        <f t="shared" si="3"/>
        <v>11</v>
      </c>
      <c r="M22" s="95">
        <f t="shared" si="4"/>
        <v>33</v>
      </c>
      <c r="N22" s="11" t="str">
        <f>_xlfn.TEXTJOIN(",",TRUE,技能系数!A222:A232)</f>
        <v>1301,1302,1303,1311,1312,1313,1314,1321,1322,1323,1324</v>
      </c>
      <c r="O22" s="11" t="str">
        <f t="shared" si="5"/>
        <v>1,1331;2,1332;3,1341;4,1342;5,1351;6,1352</v>
      </c>
      <c r="P22" s="101" t="s">
        <v>272</v>
      </c>
      <c r="Q22" s="101" t="s">
        <v>263</v>
      </c>
      <c r="R22" s="101" t="s">
        <v>264</v>
      </c>
      <c r="S22" s="101" t="s">
        <v>265</v>
      </c>
      <c r="T22" s="101"/>
      <c r="U22" t="s">
        <v>241</v>
      </c>
      <c r="V22" s="4" t="str">
        <f t="shared" si="6"/>
        <v>&lt;color=#ffffff&gt;获得武器追踪导弹，击中敌人产生&lt;/color&gt;</v>
      </c>
      <c r="W22" t="str">
        <f t="shared" si="7"/>
        <v>&lt;color=#5DFE61&gt;爆炸&lt;/color&gt;</v>
      </c>
      <c r="X22" s="4" t="str">
        <f t="shared" si="8"/>
        <v>&lt;color=#ffffff&gt;，造成&lt;/color&gt;</v>
      </c>
      <c r="Y22" t="str">
        <f t="shared" si="9"/>
        <v>&lt;color=#5DFE61&gt;范围伤害&lt;/color&gt;</v>
      </c>
      <c r="Z22" s="4" t="str">
        <f t="shared" si="10"/>
        <v/>
      </c>
      <c r="AA22" t="s">
        <v>242</v>
      </c>
    </row>
    <row r="23" s="91" customFormat="1" spans="1:27">
      <c r="A23" s="97">
        <v>14</v>
      </c>
      <c r="B23" s="97" t="s">
        <v>109</v>
      </c>
      <c r="C23" s="97" t="s">
        <v>33</v>
      </c>
      <c r="D23" s="97" t="s">
        <v>19</v>
      </c>
      <c r="E23" s="97" t="s">
        <v>82</v>
      </c>
      <c r="F23" s="98" t="s">
        <v>21</v>
      </c>
      <c r="G23" s="99">
        <v>2.5</v>
      </c>
      <c r="H23" s="96" t="str">
        <f t="shared" si="0"/>
        <v>&lt;b&gt;&lt;size=20&gt;&lt;outline color=#3D3D3D width=2&gt;&lt;color=#ffffff&gt;获得武器电磁炮，&lt;/color&gt;&lt;color=#5DFE61&gt;闪电球&lt;/color&gt;&lt;color=#ffffff&gt;电穿全场！&lt;/color&gt;&lt;/outline&gt;&lt;/size&gt;&lt;/b&gt;</v>
      </c>
      <c r="I23" s="97">
        <v>0</v>
      </c>
      <c r="J23" s="95">
        <f t="shared" si="1"/>
        <v>137.5</v>
      </c>
      <c r="K23" s="42">
        <f t="shared" si="2"/>
        <v>14</v>
      </c>
      <c r="L23" s="42">
        <f t="shared" si="3"/>
        <v>28</v>
      </c>
      <c r="M23" s="95">
        <f t="shared" si="4"/>
        <v>28</v>
      </c>
      <c r="N23" s="11" t="str">
        <f>_xlfn.TEXTJOIN(",",TRUE,技能系数!A239:A249)</f>
        <v>1401,1402,1403,1411,1412,1413,1414,1421,1422,1423,1424</v>
      </c>
      <c r="O23" s="11" t="str">
        <f t="shared" si="5"/>
        <v>1,1431;2,1432;3,1441;4,1442;5,1451;6,1452</v>
      </c>
      <c r="P23" s="101" t="s">
        <v>273</v>
      </c>
      <c r="Q23" s="101" t="s">
        <v>274</v>
      </c>
      <c r="R23" s="101" t="s">
        <v>275</v>
      </c>
      <c r="S23" s="101"/>
      <c r="T23" s="101"/>
      <c r="U23" t="s">
        <v>241</v>
      </c>
      <c r="V23" s="4" t="str">
        <f t="shared" si="6"/>
        <v>&lt;color=#ffffff&gt;获得武器电磁炮，&lt;/color&gt;</v>
      </c>
      <c r="W23" t="str">
        <f t="shared" si="7"/>
        <v>&lt;color=#5DFE61&gt;闪电球&lt;/color&gt;</v>
      </c>
      <c r="X23" s="4" t="str">
        <f t="shared" si="8"/>
        <v>&lt;color=#ffffff&gt;电穿全场！&lt;/color&gt;</v>
      </c>
      <c r="Y23" t="str">
        <f t="shared" si="9"/>
        <v/>
      </c>
      <c r="Z23" s="4" t="str">
        <f t="shared" si="10"/>
        <v/>
      </c>
      <c r="AA23" t="s">
        <v>242</v>
      </c>
    </row>
    <row r="24" s="91" customFormat="1" spans="1:27">
      <c r="A24" s="97">
        <v>15</v>
      </c>
      <c r="B24" s="97" t="s">
        <v>114</v>
      </c>
      <c r="C24" s="97" t="s">
        <v>115</v>
      </c>
      <c r="D24" s="97" t="s">
        <v>43</v>
      </c>
      <c r="E24" s="97" t="s">
        <v>82</v>
      </c>
      <c r="F24" s="98" t="s">
        <v>135</v>
      </c>
      <c r="G24" s="99">
        <v>2</v>
      </c>
      <c r="H24" s="96" t="str">
        <f t="shared" si="0"/>
        <v>&lt;b&gt;&lt;size=20&gt;&lt;outline color=#3D3D3D width=2&gt;&lt;color=#ffffff&gt;获得武器冰冻手雷，&lt;/color&gt;&lt;color=#5DFE61&gt;轰！&lt;/color&gt;&lt;color=#ffffff&gt;炸翻敌人！&lt;/color&gt;&lt;/outline&gt;&lt;/size&gt;&lt;/b&gt;</v>
      </c>
      <c r="I24" s="97">
        <v>0</v>
      </c>
      <c r="J24" s="95">
        <f t="shared" si="1"/>
        <v>44</v>
      </c>
      <c r="K24" s="42">
        <f t="shared" si="2"/>
        <v>4</v>
      </c>
      <c r="L24" s="42">
        <f t="shared" si="3"/>
        <v>10</v>
      </c>
      <c r="M24" s="95">
        <f t="shared" si="4"/>
        <v>30</v>
      </c>
      <c r="N24" s="11" t="str">
        <f>_xlfn.TEXTJOIN(",",TRUE,技能系数!A256:A266)</f>
        <v>1501,1502,1503,1511,1512,1513,1514,1521,1522,1523,1524</v>
      </c>
      <c r="O24" s="11" t="str">
        <f t="shared" si="5"/>
        <v>1,1531;2,1532;3,1541;4,1542;5,1551;6,1552</v>
      </c>
      <c r="P24" s="101" t="s">
        <v>276</v>
      </c>
      <c r="Q24" s="101" t="s">
        <v>277</v>
      </c>
      <c r="R24" s="101" t="s">
        <v>278</v>
      </c>
      <c r="S24" s="101"/>
      <c r="T24" s="101"/>
      <c r="U24" t="s">
        <v>241</v>
      </c>
      <c r="V24" s="4" t="str">
        <f t="shared" si="6"/>
        <v>&lt;color=#ffffff&gt;获得武器冰冻手雷，&lt;/color&gt;</v>
      </c>
      <c r="W24" t="str">
        <f t="shared" si="7"/>
        <v>&lt;color=#5DFE61&gt;轰！&lt;/color&gt;</v>
      </c>
      <c r="X24" s="4" t="str">
        <f t="shared" si="8"/>
        <v>&lt;color=#ffffff&gt;炸翻敌人！&lt;/color&gt;</v>
      </c>
      <c r="Y24" t="str">
        <f t="shared" si="9"/>
        <v/>
      </c>
      <c r="Z24" s="4" t="str">
        <f t="shared" si="10"/>
        <v/>
      </c>
      <c r="AA24" t="s">
        <v>242</v>
      </c>
    </row>
    <row r="25" s="91" customFormat="1" spans="1:27">
      <c r="A25" s="97">
        <v>16</v>
      </c>
      <c r="B25" s="97" t="s">
        <v>120</v>
      </c>
      <c r="C25" s="97" t="s">
        <v>18</v>
      </c>
      <c r="D25" s="97" t="s">
        <v>19</v>
      </c>
      <c r="E25" s="97" t="s">
        <v>82</v>
      </c>
      <c r="F25" s="98" t="s">
        <v>21</v>
      </c>
      <c r="G25" s="99">
        <v>1.5</v>
      </c>
      <c r="H25" s="96" t="str">
        <f t="shared" si="0"/>
        <v>&lt;b&gt;&lt;size=20&gt;&lt;outline color=#3D3D3D width=2&gt;&lt;color=#ffffff&gt;获得武器战术爪刀，极致的&lt;/color&gt;&lt;color=#5DFE61&gt;暴击武器！&lt;/color&gt;&lt;/outline&gt;&lt;/size&gt;&lt;/b&gt;</v>
      </c>
      <c r="I25" s="97">
        <v>0</v>
      </c>
      <c r="J25" s="95">
        <f t="shared" si="1"/>
        <v>82.5</v>
      </c>
      <c r="K25" s="42">
        <f t="shared" si="2"/>
        <v>8</v>
      </c>
      <c r="L25" s="42">
        <f t="shared" si="3"/>
        <v>26.6666666666667</v>
      </c>
      <c r="M25" s="95">
        <f t="shared" si="4"/>
        <v>26.6666666666667</v>
      </c>
      <c r="N25" s="11" t="str">
        <f>_xlfn.TEXTJOIN(",",TRUE,技能系数!A273:A283)</f>
        <v>1601,1602,1603,1611,1612,1613,1614,1621,1622,1623,1624</v>
      </c>
      <c r="O25" s="11" t="str">
        <f t="shared" si="5"/>
        <v>1,1631;2,1632;3,1641;4,1642;5,1651;6,1652</v>
      </c>
      <c r="P25" s="101" t="s">
        <v>279</v>
      </c>
      <c r="Q25" s="101" t="s">
        <v>280</v>
      </c>
      <c r="R25" s="101"/>
      <c r="S25" s="101"/>
      <c r="T25" s="101"/>
      <c r="U25" t="s">
        <v>241</v>
      </c>
      <c r="V25" s="4" t="str">
        <f t="shared" si="6"/>
        <v>&lt;color=#ffffff&gt;获得武器战术爪刀，极致的&lt;/color&gt;</v>
      </c>
      <c r="W25" t="str">
        <f t="shared" si="7"/>
        <v>&lt;color=#5DFE61&gt;暴击武器！&lt;/color&gt;</v>
      </c>
      <c r="X25" s="4" t="str">
        <f t="shared" si="8"/>
        <v/>
      </c>
      <c r="Y25" t="str">
        <f t="shared" si="9"/>
        <v/>
      </c>
      <c r="Z25" s="4" t="str">
        <f t="shared" si="10"/>
        <v/>
      </c>
      <c r="AA25" t="s">
        <v>242</v>
      </c>
    </row>
    <row r="26" s="91" customFormat="1" spans="1:27">
      <c r="A26" s="97">
        <v>17</v>
      </c>
      <c r="B26" s="97" t="s">
        <v>126</v>
      </c>
      <c r="C26" s="97" t="s">
        <v>115</v>
      </c>
      <c r="D26" s="97" t="s">
        <v>43</v>
      </c>
      <c r="E26" s="97" t="s">
        <v>127</v>
      </c>
      <c r="F26" s="98" t="s">
        <v>135</v>
      </c>
      <c r="G26" s="99">
        <v>10</v>
      </c>
      <c r="H26" s="96" t="str">
        <f t="shared" si="0"/>
        <v>&lt;b&gt;&lt;size=20&gt;&lt;outline color=#3D3D3D width=3&gt;&lt;color=#ffffff&gt;获得合金战刃！战刃&lt;/color&gt;&lt;color=#5DFE61&gt;快速旋转&lt;/color&gt;&lt;color=#ffffff&gt;，对范围内敌人造成&lt;/color&gt;&lt;color=#5DFE61&gt;持续伤害&lt;/color&gt;&lt;/outline&gt;&lt;/size&gt;&lt;/b&gt;</v>
      </c>
      <c r="I26" s="97">
        <v>1000</v>
      </c>
      <c r="J26" s="95">
        <f>$H$1*G26*INDEX($E$2:$E$7,MATCH(D26,$D$2:$D$7,0))/F26*INDEX($B$2:$B$6,MATCH(E26,$A$2:$A$6,0))/0.5/12</f>
        <v>25</v>
      </c>
      <c r="K26" s="42">
        <f t="shared" si="2"/>
        <v>3</v>
      </c>
      <c r="L26" s="42">
        <f t="shared" si="3"/>
        <v>1.5</v>
      </c>
      <c r="M26" s="95">
        <f t="shared" si="4"/>
        <v>4.5</v>
      </c>
      <c r="N26" s="11" t="str">
        <f>_xlfn.TEXTJOIN(",",TRUE,技能系数!A290:A300)</f>
        <v>1701,1702,1703,1711,1712,1713,1714,1721,1722,1723,1724</v>
      </c>
      <c r="O26" s="11" t="str">
        <f t="shared" si="5"/>
        <v>2,1731;4,1732;6,1741;8,1742;10,1751;12,1752</v>
      </c>
      <c r="P26" t="s">
        <v>281</v>
      </c>
      <c r="Q26" s="104" t="s">
        <v>282</v>
      </c>
      <c r="R26" t="s">
        <v>283</v>
      </c>
      <c r="S26" s="105" t="s">
        <v>284</v>
      </c>
      <c r="T26" s="101"/>
      <c r="U26" t="s">
        <v>285</v>
      </c>
      <c r="V26" s="4" t="str">
        <f t="shared" si="6"/>
        <v>&lt;color=#ffffff&gt;获得合金战刃！战刃&lt;/color&gt;</v>
      </c>
      <c r="W26" t="str">
        <f t="shared" si="7"/>
        <v>&lt;color=#5DFE61&gt;快速旋转&lt;/color&gt;</v>
      </c>
      <c r="X26" s="4" t="str">
        <f t="shared" si="8"/>
        <v>&lt;color=#ffffff&gt;，对范围内敌人造成&lt;/color&gt;</v>
      </c>
      <c r="Y26" t="str">
        <f t="shared" si="9"/>
        <v>&lt;color=#5DFE61&gt;持续伤害&lt;/color&gt;</v>
      </c>
      <c r="Z26" s="4" t="str">
        <f t="shared" si="10"/>
        <v/>
      </c>
      <c r="AA26" t="s">
        <v>242</v>
      </c>
    </row>
    <row r="27" s="91" customFormat="1" spans="1:27">
      <c r="A27" s="97">
        <v>18</v>
      </c>
      <c r="B27" s="97" t="s">
        <v>134</v>
      </c>
      <c r="C27" s="97" t="s">
        <v>42</v>
      </c>
      <c r="D27" s="97" t="s">
        <v>43</v>
      </c>
      <c r="E27" s="97" t="s">
        <v>127</v>
      </c>
      <c r="F27" s="98" t="s">
        <v>286</v>
      </c>
      <c r="G27" s="99">
        <v>4</v>
      </c>
      <c r="H27" s="96" t="str">
        <f t="shared" si="0"/>
        <v>&lt;b&gt;&lt;size=20&gt;&lt;outline color=#3D3D3D width=4&gt;&lt;color=#ffffff&gt;获得离散导弹，发射&lt;/color&gt;&lt;color=#5DFE61&gt;导弹&lt;/color&gt;&lt;color=#ffffff&gt;攻击，击中后额外&lt;/color&gt;&lt;color=#5DFE61&gt;分裂&lt;/color&gt;&lt;color=#ffffff&gt;出两个导弹&lt;/color&gt;&lt;/outline&gt;&lt;/size&gt;&lt;/b&gt;</v>
      </c>
      <c r="I27" s="97">
        <v>1000</v>
      </c>
      <c r="J27" s="95">
        <f>$H$1*G27*INDEX($E$2:$E$7,MATCH(D27,$D$2:$D$7,0))/F27*INDEX($B$2:$B$6,MATCH(E27,$A$2:$A$6,0))/0.5</f>
        <v>60</v>
      </c>
      <c r="K27" s="42">
        <f t="shared" si="2"/>
        <v>6</v>
      </c>
      <c r="L27" s="42">
        <f t="shared" si="3"/>
        <v>7.5</v>
      </c>
      <c r="M27" s="95">
        <f t="shared" si="4"/>
        <v>45</v>
      </c>
      <c r="N27" s="11" t="str">
        <f>_xlfn.TEXTJOIN(",",TRUE,技能系数!A307:A317)</f>
        <v>1801,1802,1803,1811,1812,1813,1814,1821,1822,1823,1824</v>
      </c>
      <c r="O27" s="11" t="str">
        <f t="shared" si="5"/>
        <v>2,1831;4,1832;6,1841;8,1842;10,1851;12,1852</v>
      </c>
      <c r="P27" s="101" t="s">
        <v>287</v>
      </c>
      <c r="Q27" s="101" t="s">
        <v>288</v>
      </c>
      <c r="R27" s="101" t="s">
        <v>289</v>
      </c>
      <c r="S27" s="101" t="s">
        <v>290</v>
      </c>
      <c r="T27" s="101" t="s">
        <v>291</v>
      </c>
      <c r="U27" t="s">
        <v>292</v>
      </c>
      <c r="V27" s="4" t="str">
        <f t="shared" si="6"/>
        <v>&lt;color=#ffffff&gt;获得离散导弹，发射&lt;/color&gt;</v>
      </c>
      <c r="W27" t="str">
        <f t="shared" si="7"/>
        <v>&lt;color=#5DFE61&gt;导弹&lt;/color&gt;</v>
      </c>
      <c r="X27" s="4" t="str">
        <f t="shared" si="8"/>
        <v>&lt;color=#ffffff&gt;攻击，击中后额外&lt;/color&gt;</v>
      </c>
      <c r="Y27" t="str">
        <f t="shared" si="9"/>
        <v>&lt;color=#5DFE61&gt;分裂&lt;/color&gt;</v>
      </c>
      <c r="Z27" s="4" t="str">
        <f t="shared" si="10"/>
        <v>&lt;color=#ffffff&gt;出两个导弹&lt;/color&gt;</v>
      </c>
      <c r="AA27" t="s">
        <v>242</v>
      </c>
    </row>
    <row r="28" s="91" customFormat="1" spans="1:27">
      <c r="A28" s="97">
        <v>19</v>
      </c>
      <c r="B28" s="97" t="s">
        <v>139</v>
      </c>
      <c r="C28" s="97" t="s">
        <v>33</v>
      </c>
      <c r="D28" s="97" t="s">
        <v>19</v>
      </c>
      <c r="E28" s="97" t="s">
        <v>127</v>
      </c>
      <c r="F28" s="98" t="s">
        <v>21</v>
      </c>
      <c r="G28" s="99">
        <v>5</v>
      </c>
      <c r="H28" s="96" t="str">
        <f t="shared" si="0"/>
        <v>&lt;b&gt;&lt;size=20&gt;&lt;outline color=#3D3D3D width=5&gt;&lt;color=#ffffff&gt;获得雷神之锤，召唤&lt;/color&gt;&lt;color=#5DFE61&gt;雷电&lt;/color&gt;&lt;color=#ffffff&gt;攻击敌人&lt;/color&gt;&lt;/outline&gt;&lt;/size&gt;&lt;/b&gt;</v>
      </c>
      <c r="I28" s="97">
        <v>1000</v>
      </c>
      <c r="J28" s="95">
        <f>$H$1*G28*INDEX($E$2:$E$7,MATCH(D28,$D$2:$D$7,0))/F28*INDEX($B$2:$B$6,MATCH(E28,$A$2:$A$6,0))/0.5</f>
        <v>375</v>
      </c>
      <c r="K28" s="42">
        <f t="shared" si="2"/>
        <v>38</v>
      </c>
      <c r="L28" s="42">
        <f t="shared" si="3"/>
        <v>38</v>
      </c>
      <c r="M28" s="95">
        <f t="shared" si="4"/>
        <v>38</v>
      </c>
      <c r="N28" s="11" t="str">
        <f>_xlfn.TEXTJOIN(",",TRUE,技能系数!A324:A334)</f>
        <v>1901,1902,1903,1911,1912,1913,1914,1921,1922,1923,1924</v>
      </c>
      <c r="O28" s="11" t="str">
        <f t="shared" si="5"/>
        <v>2,1931;4,1932;6,1941;8,1942;10,1951;12,1952</v>
      </c>
      <c r="P28" s="101" t="s">
        <v>293</v>
      </c>
      <c r="Q28" s="101" t="s">
        <v>294</v>
      </c>
      <c r="R28" s="101" t="s">
        <v>259</v>
      </c>
      <c r="S28" s="101"/>
      <c r="T28" s="101"/>
      <c r="U28" t="s">
        <v>295</v>
      </c>
      <c r="V28" s="4" t="str">
        <f t="shared" si="6"/>
        <v>&lt;color=#ffffff&gt;获得雷神之锤，召唤&lt;/color&gt;</v>
      </c>
      <c r="W28" t="str">
        <f t="shared" si="7"/>
        <v>&lt;color=#5DFE61&gt;雷电&lt;/color&gt;</v>
      </c>
      <c r="X28" s="4" t="str">
        <f t="shared" si="8"/>
        <v>&lt;color=#ffffff&gt;攻击敌人&lt;/color&gt;</v>
      </c>
      <c r="Y28" t="str">
        <f t="shared" si="9"/>
        <v/>
      </c>
      <c r="Z28" s="4" t="str">
        <f t="shared" si="10"/>
        <v/>
      </c>
      <c r="AA28" t="s">
        <v>242</v>
      </c>
    </row>
    <row r="29" s="91" customFormat="1" spans="1:27">
      <c r="A29" s="97">
        <v>20</v>
      </c>
      <c r="B29" s="97" t="s">
        <v>144</v>
      </c>
      <c r="C29" s="97" t="s">
        <v>18</v>
      </c>
      <c r="D29" s="97" t="s">
        <v>43</v>
      </c>
      <c r="E29" s="97" t="s">
        <v>127</v>
      </c>
      <c r="F29" s="98" t="s">
        <v>135</v>
      </c>
      <c r="G29" s="99">
        <v>4</v>
      </c>
      <c r="H29" s="96" t="str">
        <f t="shared" si="0"/>
        <v>&lt;b&gt;&lt;size=20&gt;&lt;outline color=#3D3D3D width=6&gt;&lt;color=#ffffff&gt;获得弧刃脉冲炮，发射&lt;/color&gt;&lt;color=#5DFE61&gt;弧线脉冲&lt;/color&gt;&lt;color=#ffffff&gt;攻击敌人，&lt;/color&gt;&lt;color=#5DFE61&gt;穿透&lt;/color&gt;&lt;color=#ffffff&gt;攻击&lt;/color&gt;&lt;/outline&gt;&lt;/size&gt;&lt;/b&gt;</v>
      </c>
      <c r="I29" s="101">
        <v>1000</v>
      </c>
      <c r="J29" s="95">
        <f>$H$1*G29*INDEX($E$2:$E$7,MATCH(D29,$D$2:$D$7,0))/F29*INDEX($B$2:$B$6,MATCH(E29,$A$2:$A$6,0))/0.5</f>
        <v>120</v>
      </c>
      <c r="K29" s="42">
        <f t="shared" si="2"/>
        <v>12</v>
      </c>
      <c r="L29" s="42">
        <f t="shared" si="3"/>
        <v>15</v>
      </c>
      <c r="M29" s="95">
        <f t="shared" si="4"/>
        <v>45</v>
      </c>
      <c r="N29" s="11" t="str">
        <f>_xlfn.TEXTJOIN(",",TRUE,技能系数!A341:A351)</f>
        <v>2001,2002,2003,2011,2012,2013,2014,2021,2022,2023,2024</v>
      </c>
      <c r="O29" s="11" t="str">
        <f t="shared" si="5"/>
        <v>2,2031;4,2032;6,2041;8,2042;10,2051;12,2052</v>
      </c>
      <c r="P29" s="101" t="s">
        <v>296</v>
      </c>
      <c r="Q29" s="101" t="s">
        <v>297</v>
      </c>
      <c r="R29" s="101" t="s">
        <v>298</v>
      </c>
      <c r="S29" s="101" t="s">
        <v>299</v>
      </c>
      <c r="T29" s="101" t="s">
        <v>250</v>
      </c>
      <c r="U29" t="s">
        <v>300</v>
      </c>
      <c r="V29" s="4" t="str">
        <f t="shared" si="6"/>
        <v>&lt;color=#ffffff&gt;获得弧刃脉冲炮，发射&lt;/color&gt;</v>
      </c>
      <c r="W29" t="str">
        <f t="shared" si="7"/>
        <v>&lt;color=#5DFE61&gt;弧线脉冲&lt;/color&gt;</v>
      </c>
      <c r="X29" s="4" t="str">
        <f t="shared" si="8"/>
        <v>&lt;color=#ffffff&gt;攻击敌人，&lt;/color&gt;</v>
      </c>
      <c r="Y29" t="str">
        <f t="shared" si="9"/>
        <v>&lt;color=#5DFE61&gt;穿透&lt;/color&gt;</v>
      </c>
      <c r="Z29" s="4" t="str">
        <f t="shared" si="10"/>
        <v>&lt;color=#ffffff&gt;攻击&lt;/color&gt;</v>
      </c>
      <c r="AA29" t="s">
        <v>242</v>
      </c>
    </row>
    <row r="31" spans="1:1">
      <c r="A31" s="29" t="s">
        <v>301</v>
      </c>
    </row>
    <row r="32" spans="1:10">
      <c r="A32" s="35"/>
      <c r="B32" s="24" t="s">
        <v>302</v>
      </c>
      <c r="C32" s="24" t="s">
        <v>303</v>
      </c>
      <c r="D32" s="24" t="s">
        <v>304</v>
      </c>
      <c r="E32" s="35" t="s">
        <v>305</v>
      </c>
      <c r="F32" s="35" t="s">
        <v>306</v>
      </c>
      <c r="G32" s="24" t="s">
        <v>307</v>
      </c>
      <c r="I32" s="7" t="s">
        <v>308</v>
      </c>
      <c r="J32" s="4" t="s">
        <v>309</v>
      </c>
    </row>
    <row r="33" spans="1:10">
      <c r="A33" s="35">
        <v>12</v>
      </c>
      <c r="B33" s="24">
        <v>1</v>
      </c>
      <c r="C33" s="35">
        <v>2</v>
      </c>
      <c r="D33" s="35">
        <v>2</v>
      </c>
      <c r="E33" s="35">
        <v>3</v>
      </c>
      <c r="F33" s="24">
        <v>2</v>
      </c>
      <c r="G33" s="24">
        <v>3</v>
      </c>
      <c r="I33" s="4">
        <f>通用关卡!AA6*F33/SUM(F33:F35)*技能系数!AC18</f>
        <v>324</v>
      </c>
      <c r="J33" s="7">
        <f>通用关卡!Z6*G33/SUM(G33:G35)*技能系数!W18</f>
        <v>26112</v>
      </c>
    </row>
    <row r="34" spans="1:7">
      <c r="A34" s="35">
        <v>5</v>
      </c>
      <c r="B34" s="24">
        <v>1</v>
      </c>
      <c r="C34" s="35">
        <v>1</v>
      </c>
      <c r="D34" s="35">
        <v>0</v>
      </c>
      <c r="E34" s="35">
        <v>0</v>
      </c>
      <c r="F34" s="24">
        <v>1</v>
      </c>
      <c r="G34" s="24">
        <v>0</v>
      </c>
    </row>
    <row r="35" spans="1:7">
      <c r="A35" s="35">
        <v>1</v>
      </c>
      <c r="B35" s="24">
        <v>4</v>
      </c>
      <c r="C35" s="35">
        <v>3</v>
      </c>
      <c r="D35" s="35">
        <v>4</v>
      </c>
      <c r="E35" s="35">
        <v>3</v>
      </c>
      <c r="F35" s="24">
        <v>3</v>
      </c>
      <c r="G35" s="24">
        <v>3</v>
      </c>
    </row>
    <row r="36" spans="3:8">
      <c r="C36" s="7"/>
      <c r="F36" s="4"/>
      <c r="H36" s="7">
        <v>24</v>
      </c>
    </row>
    <row r="37" spans="1:19">
      <c r="A37" s="29" t="s">
        <v>310</v>
      </c>
      <c r="N37" s="4">
        <v>2</v>
      </c>
      <c r="O37" s="4">
        <v>4</v>
      </c>
      <c r="P37" s="7">
        <v>6</v>
      </c>
      <c r="Q37" s="7">
        <v>8</v>
      </c>
      <c r="R37" s="7">
        <v>10</v>
      </c>
      <c r="S37" s="7">
        <v>12</v>
      </c>
    </row>
    <row r="38" spans="1:27">
      <c r="A38" s="35" t="s">
        <v>311</v>
      </c>
      <c r="B38" s="24" t="s">
        <v>312</v>
      </c>
      <c r="C38" s="35" t="s">
        <v>313</v>
      </c>
      <c r="N38" s="4">
        <v>1</v>
      </c>
      <c r="O38" s="4">
        <v>2</v>
      </c>
      <c r="P38" s="7">
        <v>3</v>
      </c>
      <c r="Q38" s="7">
        <v>4</v>
      </c>
      <c r="R38" s="7">
        <v>5</v>
      </c>
      <c r="S38" s="7">
        <v>6</v>
      </c>
      <c r="T38" s="7">
        <v>2</v>
      </c>
      <c r="U38" s="7">
        <v>3</v>
      </c>
      <c r="V38" s="7">
        <v>4</v>
      </c>
      <c r="W38" s="7">
        <v>5</v>
      </c>
      <c r="X38" s="7">
        <v>6</v>
      </c>
      <c r="Y38" s="7">
        <v>7</v>
      </c>
      <c r="Z38" s="7"/>
      <c r="AA38" s="7"/>
    </row>
    <row r="39" spans="1:25">
      <c r="A39" s="35">
        <v>20</v>
      </c>
      <c r="B39" s="24">
        <f>A39-6+4</f>
        <v>18</v>
      </c>
      <c r="C39" s="35">
        <f>B39+10</f>
        <v>28</v>
      </c>
      <c r="M39" s="4">
        <v>1</v>
      </c>
      <c r="N39" s="4">
        <v>131</v>
      </c>
      <c r="O39" s="4">
        <v>132</v>
      </c>
      <c r="P39" s="7">
        <v>141</v>
      </c>
      <c r="Q39" s="7">
        <v>142</v>
      </c>
      <c r="R39" s="7">
        <v>151</v>
      </c>
      <c r="S39" s="7">
        <v>152</v>
      </c>
      <c r="T39" s="7" t="str">
        <f>_xlfn.TEXTJOIN(",",TRUE,$N$38,N39)</f>
        <v>1,131</v>
      </c>
      <c r="U39" s="7" t="str">
        <f>_xlfn.TEXTJOIN(",",TRUE,$O$38,O39)</f>
        <v>2,132</v>
      </c>
      <c r="V39" s="7" t="str">
        <f>_xlfn.TEXTJOIN(",",TRUE,$P$38,P39)</f>
        <v>3,141</v>
      </c>
      <c r="W39" s="7" t="str">
        <f>_xlfn.TEXTJOIN(",",TRUE,$Q$38,Q39)</f>
        <v>4,142</v>
      </c>
      <c r="X39" s="7" t="str">
        <f>_xlfn.TEXTJOIN(",",TRUE,$R$38,R39)</f>
        <v>5,151</v>
      </c>
      <c r="Y39" s="7" t="str">
        <f>_xlfn.TEXTJOIN(",",TRUE,$S$38,S39)</f>
        <v>6,152</v>
      </c>
    </row>
    <row r="40" spans="1:25">
      <c r="A40" s="35">
        <v>25</v>
      </c>
      <c r="B40" s="24">
        <f>A40-6+4</f>
        <v>23</v>
      </c>
      <c r="C40" s="35">
        <f>B40+10</f>
        <v>33</v>
      </c>
      <c r="M40" s="4">
        <v>2</v>
      </c>
      <c r="N40" s="4">
        <f t="shared" ref="N40:S40" si="11">N39+100</f>
        <v>231</v>
      </c>
      <c r="O40" s="4">
        <f t="shared" si="11"/>
        <v>232</v>
      </c>
      <c r="P40" s="4">
        <f t="shared" si="11"/>
        <v>241</v>
      </c>
      <c r="Q40" s="4">
        <f t="shared" si="11"/>
        <v>242</v>
      </c>
      <c r="R40" s="4">
        <f t="shared" si="11"/>
        <v>251</v>
      </c>
      <c r="S40" s="4">
        <f t="shared" si="11"/>
        <v>252</v>
      </c>
      <c r="T40" s="7" t="str">
        <f t="shared" ref="T40:T54" si="12">_xlfn.TEXTJOIN(",",TRUE,$N$38,N40)</f>
        <v>1,231</v>
      </c>
      <c r="U40" s="7" t="str">
        <f t="shared" ref="U40:U54" si="13">_xlfn.TEXTJOIN(",",TRUE,$O$38,O40)</f>
        <v>2,232</v>
      </c>
      <c r="V40" s="7" t="str">
        <f t="shared" ref="V40:V54" si="14">_xlfn.TEXTJOIN(",",TRUE,$P$38,P40)</f>
        <v>3,241</v>
      </c>
      <c r="W40" s="7" t="str">
        <f t="shared" ref="W40:W54" si="15">_xlfn.TEXTJOIN(",",TRUE,$Q$38,Q40)</f>
        <v>4,242</v>
      </c>
      <c r="X40" s="7" t="str">
        <f t="shared" ref="X40:X54" si="16">_xlfn.TEXTJOIN(",",TRUE,$R$38,R40)</f>
        <v>5,251</v>
      </c>
      <c r="Y40" s="7" t="str">
        <f t="shared" ref="Y40:Y54" si="17">_xlfn.TEXTJOIN(",",TRUE,$S$38,S40)</f>
        <v>6,252</v>
      </c>
    </row>
    <row r="41" spans="1:25">
      <c r="A41" s="35">
        <v>30</v>
      </c>
      <c r="B41" s="24">
        <v>18</v>
      </c>
      <c r="C41" s="35">
        <f>B41+10</f>
        <v>28</v>
      </c>
      <c r="M41" s="4">
        <v>3</v>
      </c>
      <c r="N41" s="4">
        <f t="shared" ref="N41:N58" si="18">N40+100</f>
        <v>331</v>
      </c>
      <c r="O41" s="4">
        <f t="shared" ref="O41:O58" si="19">O40+100</f>
        <v>332</v>
      </c>
      <c r="P41" s="4">
        <f t="shared" ref="P41:P58" si="20">P40+100</f>
        <v>341</v>
      </c>
      <c r="Q41" s="4">
        <f t="shared" ref="Q41:Q58" si="21">Q40+100</f>
        <v>342</v>
      </c>
      <c r="R41" s="4">
        <f t="shared" ref="R41:R58" si="22">R40+100</f>
        <v>351</v>
      </c>
      <c r="S41" s="4">
        <f t="shared" ref="S41:S58" si="23">S40+100</f>
        <v>352</v>
      </c>
      <c r="T41" s="7" t="str">
        <f t="shared" si="12"/>
        <v>1,331</v>
      </c>
      <c r="U41" s="7" t="str">
        <f t="shared" si="13"/>
        <v>2,332</v>
      </c>
      <c r="V41" s="7" t="str">
        <f t="shared" si="14"/>
        <v>3,341</v>
      </c>
      <c r="W41" s="7" t="str">
        <f t="shared" si="15"/>
        <v>4,342</v>
      </c>
      <c r="X41" s="7" t="str">
        <f t="shared" si="16"/>
        <v>5,351</v>
      </c>
      <c r="Y41" s="7" t="str">
        <f t="shared" si="17"/>
        <v>6,352</v>
      </c>
    </row>
    <row r="42" spans="7:25">
      <c r="G42" s="4">
        <f>H1*10*2/20</f>
        <v>25</v>
      </c>
      <c r="M42" s="4">
        <v>4</v>
      </c>
      <c r="N42" s="4">
        <f t="shared" si="18"/>
        <v>431</v>
      </c>
      <c r="O42" s="4">
        <f t="shared" si="19"/>
        <v>432</v>
      </c>
      <c r="P42" s="4">
        <f t="shared" si="20"/>
        <v>441</v>
      </c>
      <c r="Q42" s="4">
        <f t="shared" si="21"/>
        <v>442</v>
      </c>
      <c r="R42" s="4">
        <f t="shared" si="22"/>
        <v>451</v>
      </c>
      <c r="S42" s="4">
        <f t="shared" si="23"/>
        <v>452</v>
      </c>
      <c r="T42" s="7" t="str">
        <f t="shared" si="12"/>
        <v>1,431</v>
      </c>
      <c r="U42" s="7" t="str">
        <f t="shared" si="13"/>
        <v>2,432</v>
      </c>
      <c r="V42" s="7" t="str">
        <f t="shared" si="14"/>
        <v>3,441</v>
      </c>
      <c r="W42" s="7" t="str">
        <f t="shared" si="15"/>
        <v>4,442</v>
      </c>
      <c r="X42" s="7" t="str">
        <f t="shared" si="16"/>
        <v>5,451</v>
      </c>
      <c r="Y42" s="7" t="str">
        <f t="shared" si="17"/>
        <v>6,452</v>
      </c>
    </row>
    <row r="43" spans="13:25">
      <c r="M43" s="4">
        <v>5</v>
      </c>
      <c r="N43" s="4">
        <f t="shared" si="18"/>
        <v>531</v>
      </c>
      <c r="O43" s="4">
        <f t="shared" si="19"/>
        <v>532</v>
      </c>
      <c r="P43" s="4">
        <f t="shared" si="20"/>
        <v>541</v>
      </c>
      <c r="Q43" s="4">
        <f t="shared" si="21"/>
        <v>542</v>
      </c>
      <c r="R43" s="4">
        <f t="shared" si="22"/>
        <v>551</v>
      </c>
      <c r="S43" s="4">
        <f t="shared" si="23"/>
        <v>552</v>
      </c>
      <c r="T43" s="7" t="str">
        <f t="shared" si="12"/>
        <v>1,531</v>
      </c>
      <c r="U43" s="7" t="str">
        <f t="shared" si="13"/>
        <v>2,532</v>
      </c>
      <c r="V43" s="7" t="str">
        <f t="shared" si="14"/>
        <v>3,541</v>
      </c>
      <c r="W43" s="7" t="str">
        <f t="shared" si="15"/>
        <v>4,542</v>
      </c>
      <c r="X43" s="7" t="str">
        <f t="shared" si="16"/>
        <v>5,551</v>
      </c>
      <c r="Y43" s="7" t="str">
        <f t="shared" si="17"/>
        <v>6,552</v>
      </c>
    </row>
    <row r="44" spans="13:25">
      <c r="M44" s="4">
        <v>6</v>
      </c>
      <c r="N44" s="4">
        <f t="shared" si="18"/>
        <v>631</v>
      </c>
      <c r="O44" s="4">
        <f t="shared" si="19"/>
        <v>632</v>
      </c>
      <c r="P44" s="4">
        <f t="shared" si="20"/>
        <v>641</v>
      </c>
      <c r="Q44" s="4">
        <f t="shared" si="21"/>
        <v>642</v>
      </c>
      <c r="R44" s="4">
        <f t="shared" si="22"/>
        <v>651</v>
      </c>
      <c r="S44" s="4">
        <f t="shared" si="23"/>
        <v>652</v>
      </c>
      <c r="T44" s="7" t="str">
        <f t="shared" si="12"/>
        <v>1,631</v>
      </c>
      <c r="U44" s="7" t="str">
        <f t="shared" si="13"/>
        <v>2,632</v>
      </c>
      <c r="V44" s="7" t="str">
        <f t="shared" si="14"/>
        <v>3,641</v>
      </c>
      <c r="W44" s="7" t="str">
        <f t="shared" si="15"/>
        <v>4,642</v>
      </c>
      <c r="X44" s="7" t="str">
        <f t="shared" si="16"/>
        <v>5,651</v>
      </c>
      <c r="Y44" s="7" t="str">
        <f t="shared" si="17"/>
        <v>6,652</v>
      </c>
    </row>
    <row r="45" spans="13:25">
      <c r="M45" s="4">
        <v>7</v>
      </c>
      <c r="N45" s="4">
        <f t="shared" si="18"/>
        <v>731</v>
      </c>
      <c r="O45" s="4">
        <f t="shared" si="19"/>
        <v>732</v>
      </c>
      <c r="P45" s="4">
        <f t="shared" si="20"/>
        <v>741</v>
      </c>
      <c r="Q45" s="4">
        <f t="shared" si="21"/>
        <v>742</v>
      </c>
      <c r="R45" s="4">
        <f t="shared" si="22"/>
        <v>751</v>
      </c>
      <c r="S45" s="4">
        <f t="shared" si="23"/>
        <v>752</v>
      </c>
      <c r="T45" s="7" t="str">
        <f t="shared" si="12"/>
        <v>1,731</v>
      </c>
      <c r="U45" s="7" t="str">
        <f t="shared" si="13"/>
        <v>2,732</v>
      </c>
      <c r="V45" s="7" t="str">
        <f t="shared" si="14"/>
        <v>3,741</v>
      </c>
      <c r="W45" s="7" t="str">
        <f t="shared" si="15"/>
        <v>4,742</v>
      </c>
      <c r="X45" s="7" t="str">
        <f t="shared" si="16"/>
        <v>5,751</v>
      </c>
      <c r="Y45" s="7" t="str">
        <f t="shared" si="17"/>
        <v>6,752</v>
      </c>
    </row>
    <row r="46" spans="13:25">
      <c r="M46" s="4">
        <v>8</v>
      </c>
      <c r="N46" s="4">
        <f t="shared" si="18"/>
        <v>831</v>
      </c>
      <c r="O46" s="4">
        <f t="shared" si="19"/>
        <v>832</v>
      </c>
      <c r="P46" s="4">
        <f t="shared" si="20"/>
        <v>841</v>
      </c>
      <c r="Q46" s="4">
        <f t="shared" si="21"/>
        <v>842</v>
      </c>
      <c r="R46" s="4">
        <f t="shared" si="22"/>
        <v>851</v>
      </c>
      <c r="S46" s="4">
        <f t="shared" si="23"/>
        <v>852</v>
      </c>
      <c r="T46" s="7" t="str">
        <f t="shared" si="12"/>
        <v>1,831</v>
      </c>
      <c r="U46" s="7" t="str">
        <f t="shared" si="13"/>
        <v>2,832</v>
      </c>
      <c r="V46" s="7" t="str">
        <f t="shared" si="14"/>
        <v>3,841</v>
      </c>
      <c r="W46" s="7" t="str">
        <f t="shared" si="15"/>
        <v>4,842</v>
      </c>
      <c r="X46" s="7" t="str">
        <f t="shared" si="16"/>
        <v>5,851</v>
      </c>
      <c r="Y46" s="7" t="str">
        <f t="shared" si="17"/>
        <v>6,852</v>
      </c>
    </row>
    <row r="47" spans="13:25">
      <c r="M47" s="4">
        <v>9</v>
      </c>
      <c r="N47" s="4">
        <f t="shared" si="18"/>
        <v>931</v>
      </c>
      <c r="O47" s="4">
        <f t="shared" si="19"/>
        <v>932</v>
      </c>
      <c r="P47" s="4">
        <f t="shared" si="20"/>
        <v>941</v>
      </c>
      <c r="Q47" s="4">
        <f t="shared" si="21"/>
        <v>942</v>
      </c>
      <c r="R47" s="4">
        <f t="shared" si="22"/>
        <v>951</v>
      </c>
      <c r="S47" s="4">
        <f t="shared" si="23"/>
        <v>952</v>
      </c>
      <c r="T47" s="7" t="str">
        <f t="shared" si="12"/>
        <v>1,931</v>
      </c>
      <c r="U47" s="7" t="str">
        <f t="shared" si="13"/>
        <v>2,932</v>
      </c>
      <c r="V47" s="7" t="str">
        <f t="shared" si="14"/>
        <v>3,941</v>
      </c>
      <c r="W47" s="7" t="str">
        <f t="shared" si="15"/>
        <v>4,942</v>
      </c>
      <c r="X47" s="7" t="str">
        <f t="shared" si="16"/>
        <v>5,951</v>
      </c>
      <c r="Y47" s="7" t="str">
        <f t="shared" si="17"/>
        <v>6,952</v>
      </c>
    </row>
    <row r="48" spans="13:25">
      <c r="M48" s="4">
        <v>10</v>
      </c>
      <c r="N48" s="4">
        <f t="shared" si="18"/>
        <v>1031</v>
      </c>
      <c r="O48" s="4">
        <f t="shared" si="19"/>
        <v>1032</v>
      </c>
      <c r="P48" s="4">
        <f t="shared" si="20"/>
        <v>1041</v>
      </c>
      <c r="Q48" s="4">
        <f t="shared" si="21"/>
        <v>1042</v>
      </c>
      <c r="R48" s="4">
        <f t="shared" si="22"/>
        <v>1051</v>
      </c>
      <c r="S48" s="4">
        <f t="shared" si="23"/>
        <v>1052</v>
      </c>
      <c r="T48" s="7" t="str">
        <f t="shared" si="12"/>
        <v>1,1031</v>
      </c>
      <c r="U48" s="7" t="str">
        <f t="shared" si="13"/>
        <v>2,1032</v>
      </c>
      <c r="V48" s="7" t="str">
        <f t="shared" si="14"/>
        <v>3,1041</v>
      </c>
      <c r="W48" s="7" t="str">
        <f t="shared" si="15"/>
        <v>4,1042</v>
      </c>
      <c r="X48" s="7" t="str">
        <f t="shared" si="16"/>
        <v>5,1051</v>
      </c>
      <c r="Y48" s="7" t="str">
        <f t="shared" si="17"/>
        <v>6,1052</v>
      </c>
    </row>
    <row r="49" spans="13:25">
      <c r="M49" s="4">
        <v>11</v>
      </c>
      <c r="N49" s="4">
        <f t="shared" si="18"/>
        <v>1131</v>
      </c>
      <c r="O49" s="4">
        <f t="shared" si="19"/>
        <v>1132</v>
      </c>
      <c r="P49" s="4">
        <f t="shared" si="20"/>
        <v>1141</v>
      </c>
      <c r="Q49" s="4">
        <f t="shared" si="21"/>
        <v>1142</v>
      </c>
      <c r="R49" s="4">
        <f t="shared" si="22"/>
        <v>1151</v>
      </c>
      <c r="S49" s="4">
        <f t="shared" si="23"/>
        <v>1152</v>
      </c>
      <c r="T49" s="7" t="str">
        <f t="shared" si="12"/>
        <v>1,1131</v>
      </c>
      <c r="U49" s="7" t="str">
        <f t="shared" si="13"/>
        <v>2,1132</v>
      </c>
      <c r="V49" s="7" t="str">
        <f t="shared" si="14"/>
        <v>3,1141</v>
      </c>
      <c r="W49" s="7" t="str">
        <f t="shared" si="15"/>
        <v>4,1142</v>
      </c>
      <c r="X49" s="7" t="str">
        <f t="shared" si="16"/>
        <v>5,1151</v>
      </c>
      <c r="Y49" s="7" t="str">
        <f t="shared" si="17"/>
        <v>6,1152</v>
      </c>
    </row>
    <row r="50" spans="13:25">
      <c r="M50" s="4">
        <v>12</v>
      </c>
      <c r="N50" s="4">
        <f t="shared" si="18"/>
        <v>1231</v>
      </c>
      <c r="O50" s="4">
        <f t="shared" si="19"/>
        <v>1232</v>
      </c>
      <c r="P50" s="4">
        <f t="shared" si="20"/>
        <v>1241</v>
      </c>
      <c r="Q50" s="4">
        <f t="shared" si="21"/>
        <v>1242</v>
      </c>
      <c r="R50" s="4">
        <f t="shared" si="22"/>
        <v>1251</v>
      </c>
      <c r="S50" s="4">
        <f t="shared" si="23"/>
        <v>1252</v>
      </c>
      <c r="T50" s="7" t="str">
        <f t="shared" si="12"/>
        <v>1,1231</v>
      </c>
      <c r="U50" s="7" t="str">
        <f t="shared" si="13"/>
        <v>2,1232</v>
      </c>
      <c r="V50" s="7" t="str">
        <f t="shared" si="14"/>
        <v>3,1241</v>
      </c>
      <c r="W50" s="7" t="str">
        <f t="shared" si="15"/>
        <v>4,1242</v>
      </c>
      <c r="X50" s="7" t="str">
        <f t="shared" si="16"/>
        <v>5,1251</v>
      </c>
      <c r="Y50" s="7" t="str">
        <f t="shared" si="17"/>
        <v>6,1252</v>
      </c>
    </row>
    <row r="51" spans="13:25">
      <c r="M51" s="4">
        <v>13</v>
      </c>
      <c r="N51" s="4">
        <f t="shared" si="18"/>
        <v>1331</v>
      </c>
      <c r="O51" s="4">
        <f t="shared" si="19"/>
        <v>1332</v>
      </c>
      <c r="P51" s="4">
        <f t="shared" si="20"/>
        <v>1341</v>
      </c>
      <c r="Q51" s="4">
        <f t="shared" si="21"/>
        <v>1342</v>
      </c>
      <c r="R51" s="4">
        <f t="shared" si="22"/>
        <v>1351</v>
      </c>
      <c r="S51" s="4">
        <f t="shared" si="23"/>
        <v>1352</v>
      </c>
      <c r="T51" s="7" t="str">
        <f t="shared" si="12"/>
        <v>1,1331</v>
      </c>
      <c r="U51" s="7" t="str">
        <f t="shared" si="13"/>
        <v>2,1332</v>
      </c>
      <c r="V51" s="7" t="str">
        <f t="shared" si="14"/>
        <v>3,1341</v>
      </c>
      <c r="W51" s="7" t="str">
        <f t="shared" si="15"/>
        <v>4,1342</v>
      </c>
      <c r="X51" s="7" t="str">
        <f t="shared" si="16"/>
        <v>5,1351</v>
      </c>
      <c r="Y51" s="7" t="str">
        <f t="shared" si="17"/>
        <v>6,1352</v>
      </c>
    </row>
    <row r="52" ht="15.6" spans="1:25">
      <c r="A52" s="7">
        <v>1</v>
      </c>
      <c r="B52" s="100">
        <v>324</v>
      </c>
      <c r="M52" s="4">
        <v>14</v>
      </c>
      <c r="N52" s="4">
        <f t="shared" si="18"/>
        <v>1431</v>
      </c>
      <c r="O52" s="4">
        <f t="shared" si="19"/>
        <v>1432</v>
      </c>
      <c r="P52" s="4">
        <f t="shared" si="20"/>
        <v>1441</v>
      </c>
      <c r="Q52" s="4">
        <f t="shared" si="21"/>
        <v>1442</v>
      </c>
      <c r="R52" s="4">
        <f t="shared" si="22"/>
        <v>1451</v>
      </c>
      <c r="S52" s="4">
        <f t="shared" si="23"/>
        <v>1452</v>
      </c>
      <c r="T52" s="7" t="str">
        <f t="shared" si="12"/>
        <v>1,1431</v>
      </c>
      <c r="U52" s="7" t="str">
        <f t="shared" si="13"/>
        <v>2,1432</v>
      </c>
      <c r="V52" s="7" t="str">
        <f t="shared" si="14"/>
        <v>3,1441</v>
      </c>
      <c r="W52" s="7" t="str">
        <f t="shared" si="15"/>
        <v>4,1442</v>
      </c>
      <c r="X52" s="7" t="str">
        <f t="shared" si="16"/>
        <v>5,1451</v>
      </c>
      <c r="Y52" s="7" t="str">
        <f t="shared" si="17"/>
        <v>6,1452</v>
      </c>
    </row>
    <row r="53" ht="15.6" spans="1:25">
      <c r="A53" s="7">
        <v>2</v>
      </c>
      <c r="B53" s="100">
        <v>408</v>
      </c>
      <c r="M53" s="4">
        <v>15</v>
      </c>
      <c r="N53" s="4">
        <f t="shared" si="18"/>
        <v>1531</v>
      </c>
      <c r="O53" s="4">
        <f t="shared" si="19"/>
        <v>1532</v>
      </c>
      <c r="P53" s="4">
        <f t="shared" si="20"/>
        <v>1541</v>
      </c>
      <c r="Q53" s="4">
        <f t="shared" si="21"/>
        <v>1542</v>
      </c>
      <c r="R53" s="4">
        <f t="shared" si="22"/>
        <v>1551</v>
      </c>
      <c r="S53" s="4">
        <f t="shared" si="23"/>
        <v>1552</v>
      </c>
      <c r="T53" s="7" t="str">
        <f t="shared" si="12"/>
        <v>1,1531</v>
      </c>
      <c r="U53" s="7" t="str">
        <f t="shared" si="13"/>
        <v>2,1532</v>
      </c>
      <c r="V53" s="7" t="str">
        <f t="shared" si="14"/>
        <v>3,1541</v>
      </c>
      <c r="W53" s="7" t="str">
        <f t="shared" si="15"/>
        <v>4,1542</v>
      </c>
      <c r="X53" s="7" t="str">
        <f t="shared" si="16"/>
        <v>5,1551</v>
      </c>
      <c r="Y53" s="7" t="str">
        <f t="shared" si="17"/>
        <v>6,1552</v>
      </c>
    </row>
    <row r="54" ht="15.6" spans="1:25">
      <c r="A54" s="7">
        <v>3</v>
      </c>
      <c r="B54" s="100">
        <v>514</v>
      </c>
      <c r="M54" s="4">
        <v>16</v>
      </c>
      <c r="N54" s="4">
        <f t="shared" si="18"/>
        <v>1631</v>
      </c>
      <c r="O54" s="4">
        <f t="shared" si="19"/>
        <v>1632</v>
      </c>
      <c r="P54" s="4">
        <f t="shared" si="20"/>
        <v>1641</v>
      </c>
      <c r="Q54" s="4">
        <f t="shared" si="21"/>
        <v>1642</v>
      </c>
      <c r="R54" s="4">
        <f t="shared" si="22"/>
        <v>1651</v>
      </c>
      <c r="S54" s="4">
        <f t="shared" si="23"/>
        <v>1652</v>
      </c>
      <c r="T54" s="7" t="str">
        <f t="shared" si="12"/>
        <v>1,1631</v>
      </c>
      <c r="U54" s="7" t="str">
        <f t="shared" si="13"/>
        <v>2,1632</v>
      </c>
      <c r="V54" s="7" t="str">
        <f t="shared" si="14"/>
        <v>3,1641</v>
      </c>
      <c r="W54" s="7" t="str">
        <f t="shared" si="15"/>
        <v>4,1642</v>
      </c>
      <c r="X54" s="7" t="str">
        <f t="shared" si="16"/>
        <v>5,1651</v>
      </c>
      <c r="Y54" s="7" t="str">
        <f t="shared" si="17"/>
        <v>6,1652</v>
      </c>
    </row>
    <row r="55" ht="15.6" spans="1:25">
      <c r="A55" s="7">
        <v>4</v>
      </c>
      <c r="B55" s="100">
        <v>648</v>
      </c>
      <c r="M55" s="4">
        <v>17</v>
      </c>
      <c r="N55" s="4">
        <f t="shared" si="18"/>
        <v>1731</v>
      </c>
      <c r="O55" s="4">
        <f t="shared" si="19"/>
        <v>1732</v>
      </c>
      <c r="P55" s="4">
        <f t="shared" si="20"/>
        <v>1741</v>
      </c>
      <c r="Q55" s="4">
        <f t="shared" si="21"/>
        <v>1742</v>
      </c>
      <c r="R55" s="4">
        <f t="shared" si="22"/>
        <v>1751</v>
      </c>
      <c r="S55" s="4">
        <f t="shared" si="23"/>
        <v>1752</v>
      </c>
      <c r="T55" s="7" t="str">
        <f>_xlfn.TEXTJOIN(",",TRUE,$N$37,N55)</f>
        <v>2,1731</v>
      </c>
      <c r="U55" s="7" t="str">
        <f>_xlfn.TEXTJOIN(",",TRUE,$O$37,O55)</f>
        <v>4,1732</v>
      </c>
      <c r="V55" s="7" t="str">
        <f>_xlfn.TEXTJOIN(",",TRUE,$P$37,P55)</f>
        <v>6,1741</v>
      </c>
      <c r="W55" s="7" t="str">
        <f>_xlfn.TEXTJOIN(",",TRUE,$Q$37,Q55)</f>
        <v>8,1742</v>
      </c>
      <c r="X55" s="7" t="str">
        <f>_xlfn.TEXTJOIN(",",TRUE,$R$37,R55)</f>
        <v>10,1751</v>
      </c>
      <c r="Y55" s="7" t="str">
        <f>_xlfn.TEXTJOIN(",",TRUE,$S$37,S55)</f>
        <v>12,1752</v>
      </c>
    </row>
    <row r="56" ht="15.6" spans="1:25">
      <c r="A56" s="7">
        <v>5</v>
      </c>
      <c r="B56" s="100">
        <v>816</v>
      </c>
      <c r="M56" s="4">
        <v>18</v>
      </c>
      <c r="N56" s="4">
        <f t="shared" si="18"/>
        <v>1831</v>
      </c>
      <c r="O56" s="4">
        <f t="shared" si="19"/>
        <v>1832</v>
      </c>
      <c r="P56" s="4">
        <f t="shared" si="20"/>
        <v>1841</v>
      </c>
      <c r="Q56" s="4">
        <f t="shared" si="21"/>
        <v>1842</v>
      </c>
      <c r="R56" s="4">
        <f t="shared" si="22"/>
        <v>1851</v>
      </c>
      <c r="S56" s="4">
        <f t="shared" si="23"/>
        <v>1852</v>
      </c>
      <c r="T56" s="7" t="str">
        <f>_xlfn.TEXTJOIN(",",TRUE,$N$37,N56)</f>
        <v>2,1831</v>
      </c>
      <c r="U56" s="7" t="str">
        <f>_xlfn.TEXTJOIN(",",TRUE,$O$37,O56)</f>
        <v>4,1832</v>
      </c>
      <c r="V56" s="7" t="str">
        <f>_xlfn.TEXTJOIN(",",TRUE,$P$37,P56)</f>
        <v>6,1841</v>
      </c>
      <c r="W56" s="7" t="str">
        <f>_xlfn.TEXTJOIN(",",TRUE,$Q$37,Q56)</f>
        <v>8,1842</v>
      </c>
      <c r="X56" s="7" t="str">
        <f>_xlfn.TEXTJOIN(",",TRUE,$R$37,R56)</f>
        <v>10,1851</v>
      </c>
      <c r="Y56" s="7" t="str">
        <f>_xlfn.TEXTJOIN(",",TRUE,$S$37,S56)</f>
        <v>12,1852</v>
      </c>
    </row>
    <row r="57" ht="15.6" spans="1:25">
      <c r="A57" s="7">
        <v>6</v>
      </c>
      <c r="B57" s="100">
        <v>1028</v>
      </c>
      <c r="M57" s="4">
        <v>19</v>
      </c>
      <c r="N57" s="4">
        <f t="shared" si="18"/>
        <v>1931</v>
      </c>
      <c r="O57" s="4">
        <f t="shared" si="19"/>
        <v>1932</v>
      </c>
      <c r="P57" s="4">
        <f t="shared" si="20"/>
        <v>1941</v>
      </c>
      <c r="Q57" s="4">
        <f t="shared" si="21"/>
        <v>1942</v>
      </c>
      <c r="R57" s="4">
        <f t="shared" si="22"/>
        <v>1951</v>
      </c>
      <c r="S57" s="4">
        <f t="shared" si="23"/>
        <v>1952</v>
      </c>
      <c r="T57" s="7" t="str">
        <f>_xlfn.TEXTJOIN(",",TRUE,$N$37,N57)</f>
        <v>2,1931</v>
      </c>
      <c r="U57" s="7" t="str">
        <f>_xlfn.TEXTJOIN(",",TRUE,$O$37,O57)</f>
        <v>4,1932</v>
      </c>
      <c r="V57" s="7" t="str">
        <f>_xlfn.TEXTJOIN(",",TRUE,$P$37,P57)</f>
        <v>6,1941</v>
      </c>
      <c r="W57" s="7" t="str">
        <f>_xlfn.TEXTJOIN(",",TRUE,$Q$37,Q57)</f>
        <v>8,1942</v>
      </c>
      <c r="X57" s="7" t="str">
        <f>_xlfn.TEXTJOIN(",",TRUE,$R$37,R57)</f>
        <v>10,1951</v>
      </c>
      <c r="Y57" s="7" t="str">
        <f>_xlfn.TEXTJOIN(",",TRUE,$S$37,S57)</f>
        <v>12,1952</v>
      </c>
    </row>
    <row r="58" ht="15.6" spans="1:25">
      <c r="A58" s="7">
        <v>7</v>
      </c>
      <c r="B58" s="100">
        <v>1296</v>
      </c>
      <c r="M58" s="4">
        <v>20</v>
      </c>
      <c r="N58" s="4">
        <f t="shared" si="18"/>
        <v>2031</v>
      </c>
      <c r="O58" s="4">
        <f t="shared" si="19"/>
        <v>2032</v>
      </c>
      <c r="P58" s="4">
        <f t="shared" si="20"/>
        <v>2041</v>
      </c>
      <c r="Q58" s="4">
        <f t="shared" si="21"/>
        <v>2042</v>
      </c>
      <c r="R58" s="4">
        <f t="shared" si="22"/>
        <v>2051</v>
      </c>
      <c r="S58" s="4">
        <f t="shared" si="23"/>
        <v>2052</v>
      </c>
      <c r="T58" s="7" t="str">
        <f>_xlfn.TEXTJOIN(",",TRUE,$N$37,N58)</f>
        <v>2,2031</v>
      </c>
      <c r="U58" s="7" t="str">
        <f>_xlfn.TEXTJOIN(",",TRUE,$O$37,O58)</f>
        <v>4,2032</v>
      </c>
      <c r="V58" s="7" t="str">
        <f>_xlfn.TEXTJOIN(",",TRUE,$P$37,P58)</f>
        <v>6,2041</v>
      </c>
      <c r="W58" s="7" t="str">
        <f>_xlfn.TEXTJOIN(",",TRUE,$Q$37,Q58)</f>
        <v>8,2042</v>
      </c>
      <c r="X58" s="7" t="str">
        <f>_xlfn.TEXTJOIN(",",TRUE,$R$37,R58)</f>
        <v>10,2051</v>
      </c>
      <c r="Y58" s="7" t="str">
        <f>_xlfn.TEXTJOIN(",",TRUE,$S$37,S58)</f>
        <v>12,2052</v>
      </c>
    </row>
    <row r="59" ht="15.6" spans="1:2">
      <c r="A59" s="7">
        <v>8</v>
      </c>
      <c r="B59" s="100">
        <v>1633</v>
      </c>
    </row>
    <row r="60" ht="15.6" spans="1:2">
      <c r="A60" s="7">
        <v>9</v>
      </c>
      <c r="B60" s="100">
        <v>2057</v>
      </c>
    </row>
    <row r="61" ht="15.6" spans="1:2">
      <c r="A61" s="7">
        <v>10</v>
      </c>
      <c r="B61" s="100">
        <v>2591</v>
      </c>
    </row>
    <row r="62" ht="15.6" spans="1:2">
      <c r="A62" s="7">
        <v>11</v>
      </c>
      <c r="B62" s="100">
        <v>3265</v>
      </c>
    </row>
    <row r="63" ht="15.6" spans="1:2">
      <c r="A63" s="7">
        <v>12</v>
      </c>
      <c r="B63" s="100">
        <v>4113</v>
      </c>
    </row>
    <row r="64" ht="15.6" spans="1:2">
      <c r="A64" s="7">
        <v>13</v>
      </c>
      <c r="B64" s="100">
        <v>5182</v>
      </c>
    </row>
    <row r="65" ht="15.6" spans="1:2">
      <c r="A65" s="7">
        <v>14</v>
      </c>
      <c r="B65" s="100">
        <v>6529</v>
      </c>
    </row>
    <row r="66" ht="15.6" spans="1:2">
      <c r="A66" s="7">
        <v>15</v>
      </c>
      <c r="B66" s="100">
        <v>8226</v>
      </c>
    </row>
    <row r="67" ht="15.6" spans="1:2">
      <c r="A67" s="7">
        <v>16</v>
      </c>
      <c r="B67" s="100">
        <v>10364</v>
      </c>
    </row>
    <row r="68" ht="15.6" spans="1:2">
      <c r="A68" s="7">
        <v>17</v>
      </c>
      <c r="B68" s="100">
        <v>13057</v>
      </c>
    </row>
    <row r="69" ht="15.6" spans="1:2">
      <c r="A69" s="7">
        <v>18</v>
      </c>
      <c r="B69" s="100">
        <v>16450</v>
      </c>
    </row>
    <row r="70" ht="15.6" spans="1:2">
      <c r="A70" s="7">
        <v>19</v>
      </c>
      <c r="B70" s="100">
        <v>20726</v>
      </c>
    </row>
    <row r="71" ht="15.6" spans="1:2">
      <c r="A71" s="7">
        <v>20</v>
      </c>
      <c r="B71" s="100">
        <v>26112</v>
      </c>
    </row>
    <row r="75" spans="1:2">
      <c r="A75" s="7" t="s">
        <v>311</v>
      </c>
      <c r="B75" s="7" t="s">
        <v>314</v>
      </c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1301</v>
      </c>
      <c r="Y1" s="7">
        <v>3</v>
      </c>
      <c r="Z1" s="4">
        <v>1302</v>
      </c>
      <c r="AA1" s="7">
        <v>1303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1301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1301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1305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1301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1301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1306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1301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1301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1301</v>
      </c>
      <c r="J5" s="7">
        <v>10</v>
      </c>
      <c r="K5" s="7">
        <f>IF(H5=1,"",INDEX($X$1:$X$3,MATCH(H5,$V$1:$V$3,0)))</f>
        <v>1305</v>
      </c>
      <c r="L5" s="7">
        <f t="shared" si="4"/>
        <v>5</v>
      </c>
      <c r="M5" s="7"/>
      <c r="N5" s="7">
        <f>IF(A5&lt;5,$X$1,IF(A5&gt;10,$AA$1,$Z$1))</f>
        <v>1301</v>
      </c>
      <c r="O5" s="7">
        <v>10</v>
      </c>
      <c r="P5" s="7">
        <f>IF(H5=1,"",INDEX($X$1:$X$3,MATCH(H5,$V$1:$V$3,0)))</f>
        <v>1305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1302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1302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1302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1302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1302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1302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1302</v>
      </c>
      <c r="J9" s="7">
        <v>10</v>
      </c>
      <c r="K9" s="7">
        <f>IF(H9=1,"",INDEX($X$1:$X$3,MATCH(H9,$V$1:$V$3,0)))</f>
        <v>1305</v>
      </c>
      <c r="L9" s="7">
        <f t="shared" si="4"/>
        <v>5</v>
      </c>
      <c r="M9" s="7"/>
      <c r="N9" s="7">
        <f>IF(A9&lt;5,$X$1,IF(A9&gt;10,$AA$1,$Z$1))</f>
        <v>1302</v>
      </c>
      <c r="O9" s="7">
        <v>10</v>
      </c>
      <c r="P9" s="7">
        <f>IF(H9=1,"",INDEX($X$1:$X$3,MATCH(H9,$V$1:$V$3,0)))</f>
        <v>1305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1302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1302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1302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1302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1303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1303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1303</v>
      </c>
      <c r="J13" s="7">
        <v>15</v>
      </c>
      <c r="K13" s="7">
        <f>IF(H13=1,"",INDEX($X$1:$X$3,MATCH(H13,$V$1:$V$3,0)))</f>
        <v>1306</v>
      </c>
      <c r="L13" s="7">
        <f t="shared" si="4"/>
        <v>1</v>
      </c>
      <c r="M13" s="7"/>
      <c r="N13" s="7">
        <f>IF(A13&lt;5,$X$1,IF(A13&gt;10,$AA$1,$Z$1))</f>
        <v>1303</v>
      </c>
      <c r="O13" s="7">
        <v>15</v>
      </c>
      <c r="P13" s="7">
        <f>IF(H13=1,"",INDEX($X$1:$X$3,MATCH(H13,$V$1:$V$3,0)))</f>
        <v>1306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1301,10</v>
      </c>
      <c r="J40" s="7" t="str">
        <f t="shared" ref="J40:J69" si="13">IF(I40="","",_xlfn.TEXTJOIN(",",TRUE,I40,H40))</f>
        <v>1301,10,1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1301,10,1</v>
      </c>
      <c r="N40" s="7" t="str">
        <f t="shared" si="12"/>
        <v>1301,10</v>
      </c>
      <c r="O40" s="7" t="str">
        <f t="shared" ref="O40:O69" si="16">IF(N40="","",N40&amp;","&amp;H40)</f>
        <v>1301,10,1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1301,10,1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1301,10</v>
      </c>
      <c r="J41" s="7" t="str">
        <f t="shared" si="13"/>
        <v>1301,10,2</v>
      </c>
      <c r="K41" s="7" t="str">
        <f t="shared" si="20"/>
        <v/>
      </c>
      <c r="L41" s="7" t="str">
        <f t="shared" si="14"/>
        <v/>
      </c>
      <c r="M41" s="7" t="str">
        <f t="shared" si="15"/>
        <v>1301,10,2</v>
      </c>
      <c r="N41" s="7" t="str">
        <f t="shared" si="20"/>
        <v>1301,10</v>
      </c>
      <c r="O41" s="7" t="str">
        <f t="shared" si="16"/>
        <v>1301,10,2</v>
      </c>
      <c r="P41" s="7" t="str">
        <f t="shared" si="17"/>
        <v/>
      </c>
      <c r="Q41" s="7" t="str">
        <f t="shared" si="18"/>
        <v/>
      </c>
      <c r="R41" s="7" t="str">
        <f t="shared" si="19"/>
        <v>1301,10,2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1301,10</v>
      </c>
      <c r="J42" s="7" t="str">
        <f t="shared" si="13"/>
        <v>1301,10,3</v>
      </c>
      <c r="K42" s="7" t="str">
        <f t="shared" si="21"/>
        <v/>
      </c>
      <c r="L42" s="7" t="str">
        <f t="shared" si="14"/>
        <v/>
      </c>
      <c r="M42" s="7" t="str">
        <f t="shared" si="15"/>
        <v>1301,10,3</v>
      </c>
      <c r="N42" s="7" t="str">
        <f t="shared" si="21"/>
        <v>1301,10</v>
      </c>
      <c r="O42" s="7" t="str">
        <f t="shared" si="16"/>
        <v>1301,10,3</v>
      </c>
      <c r="P42" s="7" t="str">
        <f t="shared" si="17"/>
        <v/>
      </c>
      <c r="Q42" s="7" t="str">
        <f t="shared" si="18"/>
        <v/>
      </c>
      <c r="R42" s="7" t="str">
        <f t="shared" si="19"/>
        <v>1301,10,3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1301,10</v>
      </c>
      <c r="J43" s="7" t="str">
        <f t="shared" si="13"/>
        <v>1301,10,4</v>
      </c>
      <c r="K43" s="7" t="str">
        <f t="shared" si="22"/>
        <v>1305,5</v>
      </c>
      <c r="L43" s="7" t="str">
        <f t="shared" si="14"/>
        <v>1305,5,4</v>
      </c>
      <c r="M43" s="7" t="str">
        <f t="shared" si="15"/>
        <v>1301,10,4;1305,5,4</v>
      </c>
      <c r="N43" s="7" t="str">
        <f t="shared" si="22"/>
        <v>1301,10</v>
      </c>
      <c r="O43" s="7" t="str">
        <f t="shared" si="16"/>
        <v>1301,10,4</v>
      </c>
      <c r="P43" s="7" t="str">
        <f t="shared" si="17"/>
        <v>1305,5</v>
      </c>
      <c r="Q43" s="7" t="str">
        <f t="shared" si="18"/>
        <v>1305,5,4</v>
      </c>
      <c r="R43" s="7" t="str">
        <f t="shared" si="19"/>
        <v>1301,10,4;1305,5,4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1302,10</v>
      </c>
      <c r="J44" s="7" t="str">
        <f t="shared" si="13"/>
        <v>1302,10,5</v>
      </c>
      <c r="K44" s="7" t="str">
        <f t="shared" si="23"/>
        <v/>
      </c>
      <c r="L44" s="7" t="str">
        <f t="shared" si="14"/>
        <v/>
      </c>
      <c r="M44" s="7" t="str">
        <f t="shared" si="15"/>
        <v>1302,10,5</v>
      </c>
      <c r="N44" s="7" t="str">
        <f t="shared" si="23"/>
        <v>1302,10</v>
      </c>
      <c r="O44" s="7" t="str">
        <f t="shared" si="16"/>
        <v>1302,10,5</v>
      </c>
      <c r="P44" s="7" t="str">
        <f t="shared" si="17"/>
        <v/>
      </c>
      <c r="Q44" s="7" t="str">
        <f t="shared" si="18"/>
        <v/>
      </c>
      <c r="R44" s="7" t="str">
        <f t="shared" si="19"/>
        <v>1302,10,5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1302,10</v>
      </c>
      <c r="J45" s="7" t="str">
        <f t="shared" si="13"/>
        <v>1302,10,6</v>
      </c>
      <c r="K45" s="7" t="str">
        <f t="shared" si="24"/>
        <v/>
      </c>
      <c r="L45" s="7" t="str">
        <f t="shared" si="14"/>
        <v/>
      </c>
      <c r="M45" s="7" t="str">
        <f t="shared" si="15"/>
        <v>1302,10,6</v>
      </c>
      <c r="N45" s="7" t="str">
        <f t="shared" si="24"/>
        <v>1302,10</v>
      </c>
      <c r="O45" s="7" t="str">
        <f t="shared" si="16"/>
        <v>1302,10,6</v>
      </c>
      <c r="P45" s="7" t="str">
        <f t="shared" si="17"/>
        <v/>
      </c>
      <c r="Q45" s="7" t="str">
        <f t="shared" si="18"/>
        <v/>
      </c>
      <c r="R45" s="7" t="str">
        <f t="shared" si="19"/>
        <v>1302,10,6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1302,10</v>
      </c>
      <c r="J46" s="7" t="str">
        <f t="shared" si="13"/>
        <v>1302,10,7</v>
      </c>
      <c r="K46" s="7" t="str">
        <f t="shared" si="25"/>
        <v/>
      </c>
      <c r="L46" s="7" t="str">
        <f t="shared" si="14"/>
        <v/>
      </c>
      <c r="M46" s="7" t="str">
        <f t="shared" si="15"/>
        <v>1302,10,7</v>
      </c>
      <c r="N46" s="7" t="str">
        <f t="shared" si="25"/>
        <v>1302,10</v>
      </c>
      <c r="O46" s="7" t="str">
        <f t="shared" si="16"/>
        <v>1302,10,7</v>
      </c>
      <c r="P46" s="7" t="str">
        <f t="shared" si="17"/>
        <v/>
      </c>
      <c r="Q46" s="7" t="str">
        <f t="shared" si="18"/>
        <v/>
      </c>
      <c r="R46" s="7" t="str">
        <f t="shared" si="19"/>
        <v>1302,10,7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1302,10</v>
      </c>
      <c r="J47" s="7" t="str">
        <f t="shared" si="13"/>
        <v>1302,10,8</v>
      </c>
      <c r="K47" s="7" t="str">
        <f t="shared" si="26"/>
        <v>1305,5</v>
      </c>
      <c r="L47" s="7" t="str">
        <f t="shared" si="14"/>
        <v>1305,5,8</v>
      </c>
      <c r="M47" s="7" t="str">
        <f t="shared" si="15"/>
        <v>1302,10,8;1305,5,8</v>
      </c>
      <c r="N47" s="7" t="str">
        <f t="shared" si="26"/>
        <v>1302,10</v>
      </c>
      <c r="O47" s="7" t="str">
        <f t="shared" si="16"/>
        <v>1302,10,8</v>
      </c>
      <c r="P47" s="7" t="str">
        <f t="shared" si="17"/>
        <v>1305,5</v>
      </c>
      <c r="Q47" s="7" t="str">
        <f t="shared" si="18"/>
        <v>1305,5,8</v>
      </c>
      <c r="R47" s="7" t="str">
        <f t="shared" si="19"/>
        <v>1302,10,8;1305,5,8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1302,15</v>
      </c>
      <c r="J48" s="7" t="str">
        <f t="shared" si="13"/>
        <v>1302,15,9</v>
      </c>
      <c r="K48" s="7" t="str">
        <f t="shared" si="27"/>
        <v/>
      </c>
      <c r="L48" s="7" t="str">
        <f t="shared" si="14"/>
        <v/>
      </c>
      <c r="M48" s="7" t="str">
        <f t="shared" si="15"/>
        <v>1302,15,9</v>
      </c>
      <c r="N48" s="7" t="str">
        <f t="shared" si="27"/>
        <v>1302,15</v>
      </c>
      <c r="O48" s="7" t="str">
        <f t="shared" si="16"/>
        <v>1302,15,9</v>
      </c>
      <c r="P48" s="7" t="str">
        <f t="shared" si="17"/>
        <v/>
      </c>
      <c r="Q48" s="7" t="str">
        <f t="shared" si="18"/>
        <v/>
      </c>
      <c r="R48" s="7" t="str">
        <f t="shared" si="19"/>
        <v>1302,15,9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1302,15</v>
      </c>
      <c r="J49" s="7" t="str">
        <f t="shared" si="13"/>
        <v>1302,15,10</v>
      </c>
      <c r="K49" s="7" t="str">
        <f t="shared" si="28"/>
        <v/>
      </c>
      <c r="L49" s="7" t="str">
        <f t="shared" si="14"/>
        <v/>
      </c>
      <c r="M49" s="7" t="str">
        <f t="shared" si="15"/>
        <v>1302,15,10</v>
      </c>
      <c r="N49" s="7" t="str">
        <f t="shared" si="28"/>
        <v>1302,15</v>
      </c>
      <c r="O49" s="7" t="str">
        <f t="shared" si="16"/>
        <v>1302,15,10</v>
      </c>
      <c r="P49" s="7" t="str">
        <f t="shared" si="17"/>
        <v/>
      </c>
      <c r="Q49" s="7" t="str">
        <f t="shared" si="18"/>
        <v/>
      </c>
      <c r="R49" s="7" t="str">
        <f t="shared" si="19"/>
        <v>1302,15,10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1303,15</v>
      </c>
      <c r="J50" s="7" t="str">
        <f t="shared" si="13"/>
        <v>1303,15,11</v>
      </c>
      <c r="K50" s="7" t="str">
        <f t="shared" si="29"/>
        <v/>
      </c>
      <c r="L50" s="7" t="str">
        <f t="shared" si="14"/>
        <v/>
      </c>
      <c r="M50" s="7" t="str">
        <f t="shared" si="15"/>
        <v>1303,15,11</v>
      </c>
      <c r="N50" s="7" t="str">
        <f t="shared" si="29"/>
        <v>1303,15</v>
      </c>
      <c r="O50" s="7" t="str">
        <f t="shared" si="16"/>
        <v>1303,15,11</v>
      </c>
      <c r="P50" s="7" t="str">
        <f t="shared" si="17"/>
        <v/>
      </c>
      <c r="Q50" s="7" t="str">
        <f t="shared" si="18"/>
        <v/>
      </c>
      <c r="R50" s="7" t="str">
        <f t="shared" si="19"/>
        <v>1303,15,11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1303,15</v>
      </c>
      <c r="J51" s="7" t="str">
        <f t="shared" si="13"/>
        <v>1303,15,12</v>
      </c>
      <c r="K51" s="7" t="str">
        <f t="shared" si="30"/>
        <v>1306,1</v>
      </c>
      <c r="L51" s="7" t="str">
        <f t="shared" si="14"/>
        <v>1306,1,12</v>
      </c>
      <c r="M51" s="7" t="str">
        <f t="shared" si="15"/>
        <v>1303,15,12;1306,1,12</v>
      </c>
      <c r="N51" s="7" t="str">
        <f t="shared" si="30"/>
        <v>1303,15</v>
      </c>
      <c r="O51" s="7" t="str">
        <f t="shared" si="16"/>
        <v>1303,15,12</v>
      </c>
      <c r="P51" s="7" t="str">
        <f t="shared" si="17"/>
        <v>1306,1</v>
      </c>
      <c r="Q51" s="7" t="str">
        <f t="shared" si="18"/>
        <v>1306,1,12</v>
      </c>
      <c r="R51" s="7" t="str">
        <f t="shared" si="19"/>
        <v>1303,15,12;1306,1,12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1301,10,1|1301,10,2|1301,10,3|1301,10,4;1305,5,4|1302,10,5|1302,10,6|1302,10,7|1302,10,8;1305,5,8|1302,15,9|1302,15,10|1303,15,11|1303,15,12;1306,1,12</v>
      </c>
      <c r="N71" s="7"/>
      <c r="O71" s="7"/>
      <c r="P71" s="7"/>
      <c r="Q71" s="7"/>
      <c r="R71" s="15" t="str">
        <f>_xlfn.TEXTJOIN("|",TRUE,R40:R69)</f>
        <v>1301,10,1|1301,10,2|1301,10,3|1301,10,4;1305,5,4|1302,10,5|1302,10,6|1302,10,7|1302,10,8;1305,5,8|1302,15,9|1302,15,10|1303,15,11|1303,15,12;1306,1,12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1401</v>
      </c>
      <c r="Y1" s="7">
        <v>3</v>
      </c>
      <c r="Z1" s="4">
        <v>1402</v>
      </c>
      <c r="AA1" s="7">
        <v>1403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1401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1401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1405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1401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1401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1406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1401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1401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1401</v>
      </c>
      <c r="J5" s="7">
        <v>10</v>
      </c>
      <c r="K5" s="7">
        <f>IF(H5=1,"",INDEX($X$1:$X$3,MATCH(H5,$V$1:$V$3,0)))</f>
        <v>1405</v>
      </c>
      <c r="L5" s="7">
        <f t="shared" si="4"/>
        <v>5</v>
      </c>
      <c r="M5" s="7"/>
      <c r="N5" s="7">
        <f>IF(A5&lt;5,$X$1,IF(A5&gt;10,$AA$1,$Z$1))</f>
        <v>1401</v>
      </c>
      <c r="O5" s="7">
        <v>10</v>
      </c>
      <c r="P5" s="7">
        <f>IF(H5=1,"",INDEX($X$1:$X$3,MATCH(H5,$V$1:$V$3,0)))</f>
        <v>1405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1402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1402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1402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1402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1402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1402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1402</v>
      </c>
      <c r="J9" s="7">
        <v>10</v>
      </c>
      <c r="K9" s="7">
        <f>IF(H9=1,"",INDEX($X$1:$X$3,MATCH(H9,$V$1:$V$3,0)))</f>
        <v>1405</v>
      </c>
      <c r="L9" s="7">
        <f t="shared" si="4"/>
        <v>5</v>
      </c>
      <c r="M9" s="7"/>
      <c r="N9" s="7">
        <f>IF(A9&lt;5,$X$1,IF(A9&gt;10,$AA$1,$Z$1))</f>
        <v>1402</v>
      </c>
      <c r="O9" s="7">
        <v>10</v>
      </c>
      <c r="P9" s="7">
        <f>IF(H9=1,"",INDEX($X$1:$X$3,MATCH(H9,$V$1:$V$3,0)))</f>
        <v>1405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1402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1402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1402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1402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1403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1403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1403</v>
      </c>
      <c r="J13" s="7">
        <v>15</v>
      </c>
      <c r="K13" s="7">
        <f>IF(H13=1,"",INDEX($X$1:$X$3,MATCH(H13,$V$1:$V$3,0)))</f>
        <v>1406</v>
      </c>
      <c r="L13" s="7">
        <f t="shared" si="4"/>
        <v>1</v>
      </c>
      <c r="M13" s="7"/>
      <c r="N13" s="7">
        <f>IF(A13&lt;5,$X$1,IF(A13&gt;10,$AA$1,$Z$1))</f>
        <v>1403</v>
      </c>
      <c r="O13" s="7">
        <v>15</v>
      </c>
      <c r="P13" s="7">
        <f>IF(H13=1,"",INDEX($X$1:$X$3,MATCH(H13,$V$1:$V$3,0)))</f>
        <v>1406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1401,10</v>
      </c>
      <c r="J40" s="7" t="str">
        <f t="shared" ref="J40:J69" si="13">IF(I40="","",_xlfn.TEXTJOIN(",",TRUE,I40,H40))</f>
        <v>1401,10,1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1401,10,1</v>
      </c>
      <c r="N40" s="7" t="str">
        <f t="shared" si="12"/>
        <v>1401,10</v>
      </c>
      <c r="O40" s="7" t="str">
        <f t="shared" ref="O40:O69" si="16">IF(N40="","",N40&amp;","&amp;H40)</f>
        <v>1401,10,1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1401,10,1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1401,10</v>
      </c>
      <c r="J41" s="7" t="str">
        <f t="shared" si="13"/>
        <v>1401,10,2</v>
      </c>
      <c r="K41" s="7" t="str">
        <f t="shared" si="20"/>
        <v/>
      </c>
      <c r="L41" s="7" t="str">
        <f t="shared" si="14"/>
        <v/>
      </c>
      <c r="M41" s="7" t="str">
        <f t="shared" si="15"/>
        <v>1401,10,2</v>
      </c>
      <c r="N41" s="7" t="str">
        <f t="shared" si="20"/>
        <v>1401,10</v>
      </c>
      <c r="O41" s="7" t="str">
        <f t="shared" si="16"/>
        <v>1401,10,2</v>
      </c>
      <c r="P41" s="7" t="str">
        <f t="shared" si="17"/>
        <v/>
      </c>
      <c r="Q41" s="7" t="str">
        <f t="shared" si="18"/>
        <v/>
      </c>
      <c r="R41" s="7" t="str">
        <f t="shared" si="19"/>
        <v>1401,10,2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1401,10</v>
      </c>
      <c r="J42" s="7" t="str">
        <f t="shared" si="13"/>
        <v>1401,10,3</v>
      </c>
      <c r="K42" s="7" t="str">
        <f t="shared" si="21"/>
        <v/>
      </c>
      <c r="L42" s="7" t="str">
        <f t="shared" si="14"/>
        <v/>
      </c>
      <c r="M42" s="7" t="str">
        <f t="shared" si="15"/>
        <v>1401,10,3</v>
      </c>
      <c r="N42" s="7" t="str">
        <f t="shared" si="21"/>
        <v>1401,10</v>
      </c>
      <c r="O42" s="7" t="str">
        <f t="shared" si="16"/>
        <v>1401,10,3</v>
      </c>
      <c r="P42" s="7" t="str">
        <f t="shared" si="17"/>
        <v/>
      </c>
      <c r="Q42" s="7" t="str">
        <f t="shared" si="18"/>
        <v/>
      </c>
      <c r="R42" s="7" t="str">
        <f t="shared" si="19"/>
        <v>1401,10,3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1401,10</v>
      </c>
      <c r="J43" s="7" t="str">
        <f t="shared" si="13"/>
        <v>1401,10,4</v>
      </c>
      <c r="K43" s="7" t="str">
        <f t="shared" si="22"/>
        <v>1405,5</v>
      </c>
      <c r="L43" s="7" t="str">
        <f t="shared" si="14"/>
        <v>1405,5,4</v>
      </c>
      <c r="M43" s="7" t="str">
        <f t="shared" si="15"/>
        <v>1401,10,4;1405,5,4</v>
      </c>
      <c r="N43" s="7" t="str">
        <f t="shared" si="22"/>
        <v>1401,10</v>
      </c>
      <c r="O43" s="7" t="str">
        <f t="shared" si="16"/>
        <v>1401,10,4</v>
      </c>
      <c r="P43" s="7" t="str">
        <f t="shared" si="17"/>
        <v>1405,5</v>
      </c>
      <c r="Q43" s="7" t="str">
        <f t="shared" si="18"/>
        <v>1405,5,4</v>
      </c>
      <c r="R43" s="7" t="str">
        <f t="shared" si="19"/>
        <v>1401,10,4;1405,5,4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1402,10</v>
      </c>
      <c r="J44" s="7" t="str">
        <f t="shared" si="13"/>
        <v>1402,10,5</v>
      </c>
      <c r="K44" s="7" t="str">
        <f t="shared" si="23"/>
        <v/>
      </c>
      <c r="L44" s="7" t="str">
        <f t="shared" si="14"/>
        <v/>
      </c>
      <c r="M44" s="7" t="str">
        <f t="shared" si="15"/>
        <v>1402,10,5</v>
      </c>
      <c r="N44" s="7" t="str">
        <f t="shared" si="23"/>
        <v>1402,10</v>
      </c>
      <c r="O44" s="7" t="str">
        <f t="shared" si="16"/>
        <v>1402,10,5</v>
      </c>
      <c r="P44" s="7" t="str">
        <f t="shared" si="17"/>
        <v/>
      </c>
      <c r="Q44" s="7" t="str">
        <f t="shared" si="18"/>
        <v/>
      </c>
      <c r="R44" s="7" t="str">
        <f t="shared" si="19"/>
        <v>1402,10,5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1402,10</v>
      </c>
      <c r="J45" s="7" t="str">
        <f t="shared" si="13"/>
        <v>1402,10,6</v>
      </c>
      <c r="K45" s="7" t="str">
        <f t="shared" si="24"/>
        <v/>
      </c>
      <c r="L45" s="7" t="str">
        <f t="shared" si="14"/>
        <v/>
      </c>
      <c r="M45" s="7" t="str">
        <f t="shared" si="15"/>
        <v>1402,10,6</v>
      </c>
      <c r="N45" s="7" t="str">
        <f t="shared" si="24"/>
        <v>1402,10</v>
      </c>
      <c r="O45" s="7" t="str">
        <f t="shared" si="16"/>
        <v>1402,10,6</v>
      </c>
      <c r="P45" s="7" t="str">
        <f t="shared" si="17"/>
        <v/>
      </c>
      <c r="Q45" s="7" t="str">
        <f t="shared" si="18"/>
        <v/>
      </c>
      <c r="R45" s="7" t="str">
        <f t="shared" si="19"/>
        <v>1402,10,6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1402,10</v>
      </c>
      <c r="J46" s="7" t="str">
        <f t="shared" si="13"/>
        <v>1402,10,7</v>
      </c>
      <c r="K46" s="7" t="str">
        <f t="shared" si="25"/>
        <v/>
      </c>
      <c r="L46" s="7" t="str">
        <f t="shared" si="14"/>
        <v/>
      </c>
      <c r="M46" s="7" t="str">
        <f t="shared" si="15"/>
        <v>1402,10,7</v>
      </c>
      <c r="N46" s="7" t="str">
        <f t="shared" si="25"/>
        <v>1402,10</v>
      </c>
      <c r="O46" s="7" t="str">
        <f t="shared" si="16"/>
        <v>1402,10,7</v>
      </c>
      <c r="P46" s="7" t="str">
        <f t="shared" si="17"/>
        <v/>
      </c>
      <c r="Q46" s="7" t="str">
        <f t="shared" si="18"/>
        <v/>
      </c>
      <c r="R46" s="7" t="str">
        <f t="shared" si="19"/>
        <v>1402,10,7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1402,10</v>
      </c>
      <c r="J47" s="7" t="str">
        <f t="shared" si="13"/>
        <v>1402,10,8</v>
      </c>
      <c r="K47" s="7" t="str">
        <f t="shared" si="26"/>
        <v>1405,5</v>
      </c>
      <c r="L47" s="7" t="str">
        <f t="shared" si="14"/>
        <v>1405,5,8</v>
      </c>
      <c r="M47" s="7" t="str">
        <f t="shared" si="15"/>
        <v>1402,10,8;1405,5,8</v>
      </c>
      <c r="N47" s="7" t="str">
        <f t="shared" si="26"/>
        <v>1402,10</v>
      </c>
      <c r="O47" s="7" t="str">
        <f t="shared" si="16"/>
        <v>1402,10,8</v>
      </c>
      <c r="P47" s="7" t="str">
        <f t="shared" si="17"/>
        <v>1405,5</v>
      </c>
      <c r="Q47" s="7" t="str">
        <f t="shared" si="18"/>
        <v>1405,5,8</v>
      </c>
      <c r="R47" s="7" t="str">
        <f t="shared" si="19"/>
        <v>1402,10,8;1405,5,8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1402,15</v>
      </c>
      <c r="J48" s="7" t="str">
        <f t="shared" si="13"/>
        <v>1402,15,9</v>
      </c>
      <c r="K48" s="7" t="str">
        <f t="shared" si="27"/>
        <v/>
      </c>
      <c r="L48" s="7" t="str">
        <f t="shared" si="14"/>
        <v/>
      </c>
      <c r="M48" s="7" t="str">
        <f t="shared" si="15"/>
        <v>1402,15,9</v>
      </c>
      <c r="N48" s="7" t="str">
        <f t="shared" si="27"/>
        <v>1402,15</v>
      </c>
      <c r="O48" s="7" t="str">
        <f t="shared" si="16"/>
        <v>1402,15,9</v>
      </c>
      <c r="P48" s="7" t="str">
        <f t="shared" si="17"/>
        <v/>
      </c>
      <c r="Q48" s="7" t="str">
        <f t="shared" si="18"/>
        <v/>
      </c>
      <c r="R48" s="7" t="str">
        <f t="shared" si="19"/>
        <v>1402,15,9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1402,15</v>
      </c>
      <c r="J49" s="7" t="str">
        <f t="shared" si="13"/>
        <v>1402,15,10</v>
      </c>
      <c r="K49" s="7" t="str">
        <f t="shared" si="28"/>
        <v/>
      </c>
      <c r="L49" s="7" t="str">
        <f t="shared" si="14"/>
        <v/>
      </c>
      <c r="M49" s="7" t="str">
        <f t="shared" si="15"/>
        <v>1402,15,10</v>
      </c>
      <c r="N49" s="7" t="str">
        <f t="shared" si="28"/>
        <v>1402,15</v>
      </c>
      <c r="O49" s="7" t="str">
        <f t="shared" si="16"/>
        <v>1402,15,10</v>
      </c>
      <c r="P49" s="7" t="str">
        <f t="shared" si="17"/>
        <v/>
      </c>
      <c r="Q49" s="7" t="str">
        <f t="shared" si="18"/>
        <v/>
      </c>
      <c r="R49" s="7" t="str">
        <f t="shared" si="19"/>
        <v>1402,15,10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1403,15</v>
      </c>
      <c r="J50" s="7" t="str">
        <f t="shared" si="13"/>
        <v>1403,15,11</v>
      </c>
      <c r="K50" s="7" t="str">
        <f t="shared" si="29"/>
        <v/>
      </c>
      <c r="L50" s="7" t="str">
        <f t="shared" si="14"/>
        <v/>
      </c>
      <c r="M50" s="7" t="str">
        <f t="shared" si="15"/>
        <v>1403,15,11</v>
      </c>
      <c r="N50" s="7" t="str">
        <f t="shared" si="29"/>
        <v>1403,15</v>
      </c>
      <c r="O50" s="7" t="str">
        <f t="shared" si="16"/>
        <v>1403,15,11</v>
      </c>
      <c r="P50" s="7" t="str">
        <f t="shared" si="17"/>
        <v/>
      </c>
      <c r="Q50" s="7" t="str">
        <f t="shared" si="18"/>
        <v/>
      </c>
      <c r="R50" s="7" t="str">
        <f t="shared" si="19"/>
        <v>1403,15,11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1403,15</v>
      </c>
      <c r="J51" s="7" t="str">
        <f t="shared" si="13"/>
        <v>1403,15,12</v>
      </c>
      <c r="K51" s="7" t="str">
        <f t="shared" si="30"/>
        <v>1406,1</v>
      </c>
      <c r="L51" s="7" t="str">
        <f t="shared" si="14"/>
        <v>1406,1,12</v>
      </c>
      <c r="M51" s="7" t="str">
        <f t="shared" si="15"/>
        <v>1403,15,12;1406,1,12</v>
      </c>
      <c r="N51" s="7" t="str">
        <f t="shared" si="30"/>
        <v>1403,15</v>
      </c>
      <c r="O51" s="7" t="str">
        <f t="shared" si="16"/>
        <v>1403,15,12</v>
      </c>
      <c r="P51" s="7" t="str">
        <f t="shared" si="17"/>
        <v>1406,1</v>
      </c>
      <c r="Q51" s="7" t="str">
        <f t="shared" si="18"/>
        <v>1406,1,12</v>
      </c>
      <c r="R51" s="7" t="str">
        <f t="shared" si="19"/>
        <v>1403,15,12;1406,1,12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1401,10,1|1401,10,2|1401,10,3|1401,10,4;1405,5,4|1402,10,5|1402,10,6|1402,10,7|1402,10,8;1405,5,8|1402,15,9|1402,15,10|1403,15,11|1403,15,12;1406,1,12</v>
      </c>
      <c r="N71" s="7"/>
      <c r="O71" s="7"/>
      <c r="P71" s="7"/>
      <c r="Q71" s="7"/>
      <c r="R71" s="15" t="str">
        <f>_xlfn.TEXTJOIN("|",TRUE,R40:R69)</f>
        <v>1401,10,1|1401,10,2|1401,10,3|1401,10,4;1405,5,4|1402,10,5|1402,10,6|1402,10,7|1402,10,8;1405,5,8|1402,15,9|1402,15,10|1403,15,11|1403,15,12;1406,1,12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1501</v>
      </c>
      <c r="Y1" s="7">
        <v>3</v>
      </c>
      <c r="Z1" s="4">
        <v>1502</v>
      </c>
      <c r="AA1" s="7">
        <v>1503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1501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1501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1505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1501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1501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1506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1501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1501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1501</v>
      </c>
      <c r="J5" s="7">
        <v>10</v>
      </c>
      <c r="K5" s="7">
        <f>IF(H5=1,"",INDEX($X$1:$X$3,MATCH(H5,$V$1:$V$3,0)))</f>
        <v>1505</v>
      </c>
      <c r="L5" s="7">
        <f t="shared" si="4"/>
        <v>5</v>
      </c>
      <c r="M5" s="7"/>
      <c r="N5" s="7">
        <f>IF(A5&lt;5,$X$1,IF(A5&gt;10,$AA$1,$Z$1))</f>
        <v>1501</v>
      </c>
      <c r="O5" s="7">
        <v>10</v>
      </c>
      <c r="P5" s="7">
        <f>IF(H5=1,"",INDEX($X$1:$X$3,MATCH(H5,$V$1:$V$3,0)))</f>
        <v>1505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1502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1502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1502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1502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1502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1502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1502</v>
      </c>
      <c r="J9" s="7">
        <v>10</v>
      </c>
      <c r="K9" s="7">
        <f>IF(H9=1,"",INDEX($X$1:$X$3,MATCH(H9,$V$1:$V$3,0)))</f>
        <v>1505</v>
      </c>
      <c r="L9" s="7">
        <f t="shared" si="4"/>
        <v>5</v>
      </c>
      <c r="M9" s="7"/>
      <c r="N9" s="7">
        <f>IF(A9&lt;5,$X$1,IF(A9&gt;10,$AA$1,$Z$1))</f>
        <v>1502</v>
      </c>
      <c r="O9" s="7">
        <v>10</v>
      </c>
      <c r="P9" s="7">
        <f>IF(H9=1,"",INDEX($X$1:$X$3,MATCH(H9,$V$1:$V$3,0)))</f>
        <v>1505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1502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1502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1502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1502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1503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1503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1503</v>
      </c>
      <c r="J13" s="7">
        <v>15</v>
      </c>
      <c r="K13" s="7">
        <f>IF(H13=1,"",INDEX($X$1:$X$3,MATCH(H13,$V$1:$V$3,0)))</f>
        <v>1506</v>
      </c>
      <c r="L13" s="7">
        <f t="shared" si="4"/>
        <v>1</v>
      </c>
      <c r="M13" s="7"/>
      <c r="N13" s="7">
        <f>IF(A13&lt;5,$X$1,IF(A13&gt;10,$AA$1,$Z$1))</f>
        <v>1503</v>
      </c>
      <c r="O13" s="7">
        <v>15</v>
      </c>
      <c r="P13" s="7">
        <f>IF(H13=1,"",INDEX($X$1:$X$3,MATCH(H13,$V$1:$V$3,0)))</f>
        <v>1506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1501,10</v>
      </c>
      <c r="J40" s="7" t="str">
        <f t="shared" ref="J40:J69" si="13">IF(I40="","",_xlfn.TEXTJOIN(",",TRUE,I40,H40))</f>
        <v>1501,10,1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1501,10,1</v>
      </c>
      <c r="N40" s="7" t="str">
        <f t="shared" si="12"/>
        <v>1501,10</v>
      </c>
      <c r="O40" s="7" t="str">
        <f t="shared" ref="O40:O69" si="16">IF(N40="","",N40&amp;","&amp;H40)</f>
        <v>1501,10,1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1501,10,1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1501,10</v>
      </c>
      <c r="J41" s="7" t="str">
        <f t="shared" si="13"/>
        <v>1501,10,2</v>
      </c>
      <c r="K41" s="7" t="str">
        <f t="shared" si="20"/>
        <v/>
      </c>
      <c r="L41" s="7" t="str">
        <f t="shared" si="14"/>
        <v/>
      </c>
      <c r="M41" s="7" t="str">
        <f t="shared" si="15"/>
        <v>1501,10,2</v>
      </c>
      <c r="N41" s="7" t="str">
        <f t="shared" si="20"/>
        <v>1501,10</v>
      </c>
      <c r="O41" s="7" t="str">
        <f t="shared" si="16"/>
        <v>1501,10,2</v>
      </c>
      <c r="P41" s="7" t="str">
        <f t="shared" si="17"/>
        <v/>
      </c>
      <c r="Q41" s="7" t="str">
        <f t="shared" si="18"/>
        <v/>
      </c>
      <c r="R41" s="7" t="str">
        <f t="shared" si="19"/>
        <v>1501,10,2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1501,10</v>
      </c>
      <c r="J42" s="7" t="str">
        <f t="shared" si="13"/>
        <v>1501,10,3</v>
      </c>
      <c r="K42" s="7" t="str">
        <f t="shared" si="21"/>
        <v/>
      </c>
      <c r="L42" s="7" t="str">
        <f t="shared" si="14"/>
        <v/>
      </c>
      <c r="M42" s="7" t="str">
        <f t="shared" si="15"/>
        <v>1501,10,3</v>
      </c>
      <c r="N42" s="7" t="str">
        <f t="shared" si="21"/>
        <v>1501,10</v>
      </c>
      <c r="O42" s="7" t="str">
        <f t="shared" si="16"/>
        <v>1501,10,3</v>
      </c>
      <c r="P42" s="7" t="str">
        <f t="shared" si="17"/>
        <v/>
      </c>
      <c r="Q42" s="7" t="str">
        <f t="shared" si="18"/>
        <v/>
      </c>
      <c r="R42" s="7" t="str">
        <f t="shared" si="19"/>
        <v>1501,10,3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1501,10</v>
      </c>
      <c r="J43" s="7" t="str">
        <f t="shared" si="13"/>
        <v>1501,10,4</v>
      </c>
      <c r="K43" s="7" t="str">
        <f t="shared" si="22"/>
        <v>1505,5</v>
      </c>
      <c r="L43" s="7" t="str">
        <f t="shared" si="14"/>
        <v>1505,5,4</v>
      </c>
      <c r="M43" s="7" t="str">
        <f t="shared" si="15"/>
        <v>1501,10,4;1505,5,4</v>
      </c>
      <c r="N43" s="7" t="str">
        <f t="shared" si="22"/>
        <v>1501,10</v>
      </c>
      <c r="O43" s="7" t="str">
        <f t="shared" si="16"/>
        <v>1501,10,4</v>
      </c>
      <c r="P43" s="7" t="str">
        <f t="shared" si="17"/>
        <v>1505,5</v>
      </c>
      <c r="Q43" s="7" t="str">
        <f t="shared" si="18"/>
        <v>1505,5,4</v>
      </c>
      <c r="R43" s="7" t="str">
        <f t="shared" si="19"/>
        <v>1501,10,4;1505,5,4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1502,10</v>
      </c>
      <c r="J44" s="7" t="str">
        <f t="shared" si="13"/>
        <v>1502,10,5</v>
      </c>
      <c r="K44" s="7" t="str">
        <f t="shared" si="23"/>
        <v/>
      </c>
      <c r="L44" s="7" t="str">
        <f t="shared" si="14"/>
        <v/>
      </c>
      <c r="M44" s="7" t="str">
        <f t="shared" si="15"/>
        <v>1502,10,5</v>
      </c>
      <c r="N44" s="7" t="str">
        <f t="shared" si="23"/>
        <v>1502,10</v>
      </c>
      <c r="O44" s="7" t="str">
        <f t="shared" si="16"/>
        <v>1502,10,5</v>
      </c>
      <c r="P44" s="7" t="str">
        <f t="shared" si="17"/>
        <v/>
      </c>
      <c r="Q44" s="7" t="str">
        <f t="shared" si="18"/>
        <v/>
      </c>
      <c r="R44" s="7" t="str">
        <f t="shared" si="19"/>
        <v>1502,10,5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1502,10</v>
      </c>
      <c r="J45" s="7" t="str">
        <f t="shared" si="13"/>
        <v>1502,10,6</v>
      </c>
      <c r="K45" s="7" t="str">
        <f t="shared" si="24"/>
        <v/>
      </c>
      <c r="L45" s="7" t="str">
        <f t="shared" si="14"/>
        <v/>
      </c>
      <c r="M45" s="7" t="str">
        <f t="shared" si="15"/>
        <v>1502,10,6</v>
      </c>
      <c r="N45" s="7" t="str">
        <f t="shared" si="24"/>
        <v>1502,10</v>
      </c>
      <c r="O45" s="7" t="str">
        <f t="shared" si="16"/>
        <v>1502,10,6</v>
      </c>
      <c r="P45" s="7" t="str">
        <f t="shared" si="17"/>
        <v/>
      </c>
      <c r="Q45" s="7" t="str">
        <f t="shared" si="18"/>
        <v/>
      </c>
      <c r="R45" s="7" t="str">
        <f t="shared" si="19"/>
        <v>1502,10,6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1502,10</v>
      </c>
      <c r="J46" s="7" t="str">
        <f t="shared" si="13"/>
        <v>1502,10,7</v>
      </c>
      <c r="K46" s="7" t="str">
        <f t="shared" si="25"/>
        <v/>
      </c>
      <c r="L46" s="7" t="str">
        <f t="shared" si="14"/>
        <v/>
      </c>
      <c r="M46" s="7" t="str">
        <f t="shared" si="15"/>
        <v>1502,10,7</v>
      </c>
      <c r="N46" s="7" t="str">
        <f t="shared" si="25"/>
        <v>1502,10</v>
      </c>
      <c r="O46" s="7" t="str">
        <f t="shared" si="16"/>
        <v>1502,10,7</v>
      </c>
      <c r="P46" s="7" t="str">
        <f t="shared" si="17"/>
        <v/>
      </c>
      <c r="Q46" s="7" t="str">
        <f t="shared" si="18"/>
        <v/>
      </c>
      <c r="R46" s="7" t="str">
        <f t="shared" si="19"/>
        <v>1502,10,7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1502,10</v>
      </c>
      <c r="J47" s="7" t="str">
        <f t="shared" si="13"/>
        <v>1502,10,8</v>
      </c>
      <c r="K47" s="7" t="str">
        <f t="shared" si="26"/>
        <v>1505,5</v>
      </c>
      <c r="L47" s="7" t="str">
        <f t="shared" si="14"/>
        <v>1505,5,8</v>
      </c>
      <c r="M47" s="7" t="str">
        <f t="shared" si="15"/>
        <v>1502,10,8;1505,5,8</v>
      </c>
      <c r="N47" s="7" t="str">
        <f t="shared" si="26"/>
        <v>1502,10</v>
      </c>
      <c r="O47" s="7" t="str">
        <f t="shared" si="16"/>
        <v>1502,10,8</v>
      </c>
      <c r="P47" s="7" t="str">
        <f t="shared" si="17"/>
        <v>1505,5</v>
      </c>
      <c r="Q47" s="7" t="str">
        <f t="shared" si="18"/>
        <v>1505,5,8</v>
      </c>
      <c r="R47" s="7" t="str">
        <f t="shared" si="19"/>
        <v>1502,10,8;1505,5,8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1502,15</v>
      </c>
      <c r="J48" s="7" t="str">
        <f t="shared" si="13"/>
        <v>1502,15,9</v>
      </c>
      <c r="K48" s="7" t="str">
        <f t="shared" si="27"/>
        <v/>
      </c>
      <c r="L48" s="7" t="str">
        <f t="shared" si="14"/>
        <v/>
      </c>
      <c r="M48" s="7" t="str">
        <f t="shared" si="15"/>
        <v>1502,15,9</v>
      </c>
      <c r="N48" s="7" t="str">
        <f t="shared" si="27"/>
        <v>1502,15</v>
      </c>
      <c r="O48" s="7" t="str">
        <f t="shared" si="16"/>
        <v>1502,15,9</v>
      </c>
      <c r="P48" s="7" t="str">
        <f t="shared" si="17"/>
        <v/>
      </c>
      <c r="Q48" s="7" t="str">
        <f t="shared" si="18"/>
        <v/>
      </c>
      <c r="R48" s="7" t="str">
        <f t="shared" si="19"/>
        <v>1502,15,9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1502,15</v>
      </c>
      <c r="J49" s="7" t="str">
        <f t="shared" si="13"/>
        <v>1502,15,10</v>
      </c>
      <c r="K49" s="7" t="str">
        <f t="shared" si="28"/>
        <v/>
      </c>
      <c r="L49" s="7" t="str">
        <f t="shared" si="14"/>
        <v/>
      </c>
      <c r="M49" s="7" t="str">
        <f t="shared" si="15"/>
        <v>1502,15,10</v>
      </c>
      <c r="N49" s="7" t="str">
        <f t="shared" si="28"/>
        <v>1502,15</v>
      </c>
      <c r="O49" s="7" t="str">
        <f t="shared" si="16"/>
        <v>1502,15,10</v>
      </c>
      <c r="P49" s="7" t="str">
        <f t="shared" si="17"/>
        <v/>
      </c>
      <c r="Q49" s="7" t="str">
        <f t="shared" si="18"/>
        <v/>
      </c>
      <c r="R49" s="7" t="str">
        <f t="shared" si="19"/>
        <v>1502,15,10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1503,15</v>
      </c>
      <c r="J50" s="7" t="str">
        <f t="shared" si="13"/>
        <v>1503,15,11</v>
      </c>
      <c r="K50" s="7" t="str">
        <f t="shared" si="29"/>
        <v/>
      </c>
      <c r="L50" s="7" t="str">
        <f t="shared" si="14"/>
        <v/>
      </c>
      <c r="M50" s="7" t="str">
        <f t="shared" si="15"/>
        <v>1503,15,11</v>
      </c>
      <c r="N50" s="7" t="str">
        <f t="shared" si="29"/>
        <v>1503,15</v>
      </c>
      <c r="O50" s="7" t="str">
        <f t="shared" si="16"/>
        <v>1503,15,11</v>
      </c>
      <c r="P50" s="7" t="str">
        <f t="shared" si="17"/>
        <v/>
      </c>
      <c r="Q50" s="7" t="str">
        <f t="shared" si="18"/>
        <v/>
      </c>
      <c r="R50" s="7" t="str">
        <f t="shared" si="19"/>
        <v>1503,15,11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1503,15</v>
      </c>
      <c r="J51" s="7" t="str">
        <f t="shared" si="13"/>
        <v>1503,15,12</v>
      </c>
      <c r="K51" s="7" t="str">
        <f t="shared" si="30"/>
        <v>1506,1</v>
      </c>
      <c r="L51" s="7" t="str">
        <f t="shared" si="14"/>
        <v>1506,1,12</v>
      </c>
      <c r="M51" s="7" t="str">
        <f t="shared" si="15"/>
        <v>1503,15,12;1506,1,12</v>
      </c>
      <c r="N51" s="7" t="str">
        <f t="shared" si="30"/>
        <v>1503,15</v>
      </c>
      <c r="O51" s="7" t="str">
        <f t="shared" si="16"/>
        <v>1503,15,12</v>
      </c>
      <c r="P51" s="7" t="str">
        <f t="shared" si="17"/>
        <v>1506,1</v>
      </c>
      <c r="Q51" s="7" t="str">
        <f t="shared" si="18"/>
        <v>1506,1,12</v>
      </c>
      <c r="R51" s="7" t="str">
        <f t="shared" si="19"/>
        <v>1503,15,12;1506,1,12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1501,10,1|1501,10,2|1501,10,3|1501,10,4;1505,5,4|1502,10,5|1502,10,6|1502,10,7|1502,10,8;1505,5,8|1502,15,9|1502,15,10|1503,15,11|1503,15,12;1506,1,12</v>
      </c>
      <c r="N71" s="7"/>
      <c r="O71" s="7"/>
      <c r="P71" s="7"/>
      <c r="Q71" s="7"/>
      <c r="R71" s="15" t="str">
        <f>_xlfn.TEXTJOIN("|",TRUE,R40:R69)</f>
        <v>1501,10,1|1501,10,2|1501,10,3|1501,10,4;1505,5,4|1502,10,5|1502,10,6|1502,10,7|1502,10,8;1505,5,8|1502,15,9|1502,15,10|1503,15,11|1503,15,12;1506,1,12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1601</v>
      </c>
      <c r="Y1" s="7">
        <v>3</v>
      </c>
      <c r="Z1" s="4">
        <v>1602</v>
      </c>
      <c r="AA1" s="7">
        <v>1603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1601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1601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1605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1601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1601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1606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1601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1601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1601</v>
      </c>
      <c r="J5" s="7">
        <v>10</v>
      </c>
      <c r="K5" s="7">
        <f>IF(H5=1,"",INDEX($X$1:$X$3,MATCH(H5,$V$1:$V$3,0)))</f>
        <v>1605</v>
      </c>
      <c r="L5" s="7">
        <f t="shared" si="4"/>
        <v>5</v>
      </c>
      <c r="M5" s="7"/>
      <c r="N5" s="7">
        <f>IF(A5&lt;5,$X$1,IF(A5&gt;10,$AA$1,$Z$1))</f>
        <v>1601</v>
      </c>
      <c r="O5" s="7">
        <v>10</v>
      </c>
      <c r="P5" s="7">
        <f>IF(H5=1,"",INDEX($X$1:$X$3,MATCH(H5,$V$1:$V$3,0)))</f>
        <v>1605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1602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1602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1602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1602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1602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1602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1602</v>
      </c>
      <c r="J9" s="7">
        <v>10</v>
      </c>
      <c r="K9" s="7">
        <f>IF(H9=1,"",INDEX($X$1:$X$3,MATCH(H9,$V$1:$V$3,0)))</f>
        <v>1605</v>
      </c>
      <c r="L9" s="7">
        <f t="shared" si="4"/>
        <v>5</v>
      </c>
      <c r="M9" s="7"/>
      <c r="N9" s="7">
        <f>IF(A9&lt;5,$X$1,IF(A9&gt;10,$AA$1,$Z$1))</f>
        <v>1602</v>
      </c>
      <c r="O9" s="7">
        <v>10</v>
      </c>
      <c r="P9" s="7">
        <f>IF(H9=1,"",INDEX($X$1:$X$3,MATCH(H9,$V$1:$V$3,0)))</f>
        <v>1605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1602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1602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1602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1602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1603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1603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1603</v>
      </c>
      <c r="J13" s="7">
        <v>15</v>
      </c>
      <c r="K13" s="7">
        <f>IF(H13=1,"",INDEX($X$1:$X$3,MATCH(H13,$V$1:$V$3,0)))</f>
        <v>1606</v>
      </c>
      <c r="L13" s="7">
        <f t="shared" si="4"/>
        <v>1</v>
      </c>
      <c r="M13" s="7"/>
      <c r="N13" s="7">
        <f>IF(A13&lt;5,$X$1,IF(A13&gt;10,$AA$1,$Z$1))</f>
        <v>1603</v>
      </c>
      <c r="O13" s="7">
        <v>15</v>
      </c>
      <c r="P13" s="7">
        <f>IF(H13=1,"",INDEX($X$1:$X$3,MATCH(H13,$V$1:$V$3,0)))</f>
        <v>1606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Y32" s="4"/>
      <c r="AA32" s="7"/>
    </row>
    <row r="33" spans="1:2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1601,10</v>
      </c>
      <c r="J40" s="7" t="str">
        <f t="shared" ref="J40:J69" si="13">IF(I40="","",_xlfn.TEXTJOIN(",",TRUE,I40,H40))</f>
        <v>1601,10,1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1601,10,1</v>
      </c>
      <c r="N40" s="7" t="str">
        <f t="shared" si="12"/>
        <v>1601,10</v>
      </c>
      <c r="O40" s="7" t="str">
        <f t="shared" ref="O40:O69" si="16">IF(N40="","",N40&amp;","&amp;H40)</f>
        <v>1601,10,1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1601,10,1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1601,10</v>
      </c>
      <c r="J41" s="7" t="str">
        <f t="shared" si="13"/>
        <v>1601,10,2</v>
      </c>
      <c r="K41" s="7" t="str">
        <f t="shared" si="20"/>
        <v/>
      </c>
      <c r="L41" s="7" t="str">
        <f t="shared" si="14"/>
        <v/>
      </c>
      <c r="M41" s="7" t="str">
        <f t="shared" si="15"/>
        <v>1601,10,2</v>
      </c>
      <c r="N41" s="7" t="str">
        <f t="shared" si="20"/>
        <v>1601,10</v>
      </c>
      <c r="O41" s="7" t="str">
        <f t="shared" si="16"/>
        <v>1601,10,2</v>
      </c>
      <c r="P41" s="7" t="str">
        <f t="shared" si="17"/>
        <v/>
      </c>
      <c r="Q41" s="7" t="str">
        <f t="shared" si="18"/>
        <v/>
      </c>
      <c r="R41" s="7" t="str">
        <f t="shared" si="19"/>
        <v>1601,10,2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1601,10</v>
      </c>
      <c r="J42" s="7" t="str">
        <f t="shared" si="13"/>
        <v>1601,10,3</v>
      </c>
      <c r="K42" s="7" t="str">
        <f t="shared" si="21"/>
        <v/>
      </c>
      <c r="L42" s="7" t="str">
        <f t="shared" si="14"/>
        <v/>
      </c>
      <c r="M42" s="7" t="str">
        <f t="shared" si="15"/>
        <v>1601,10,3</v>
      </c>
      <c r="N42" s="7" t="str">
        <f t="shared" si="21"/>
        <v>1601,10</v>
      </c>
      <c r="O42" s="7" t="str">
        <f t="shared" si="16"/>
        <v>1601,10,3</v>
      </c>
      <c r="P42" s="7" t="str">
        <f t="shared" si="17"/>
        <v/>
      </c>
      <c r="Q42" s="7" t="str">
        <f t="shared" si="18"/>
        <v/>
      </c>
      <c r="R42" s="7" t="str">
        <f t="shared" si="19"/>
        <v>1601,10,3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1601,10</v>
      </c>
      <c r="J43" s="7" t="str">
        <f t="shared" si="13"/>
        <v>1601,10,4</v>
      </c>
      <c r="K43" s="7" t="str">
        <f t="shared" si="22"/>
        <v>1605,5</v>
      </c>
      <c r="L43" s="7" t="str">
        <f t="shared" si="14"/>
        <v>1605,5,4</v>
      </c>
      <c r="M43" s="7" t="str">
        <f t="shared" si="15"/>
        <v>1601,10,4;1605,5,4</v>
      </c>
      <c r="N43" s="7" t="str">
        <f t="shared" si="22"/>
        <v>1601,10</v>
      </c>
      <c r="O43" s="7" t="str">
        <f t="shared" si="16"/>
        <v>1601,10,4</v>
      </c>
      <c r="P43" s="7" t="str">
        <f t="shared" si="17"/>
        <v>1605,5</v>
      </c>
      <c r="Q43" s="7" t="str">
        <f t="shared" si="18"/>
        <v>1605,5,4</v>
      </c>
      <c r="R43" s="7" t="str">
        <f t="shared" si="19"/>
        <v>1601,10,4;1605,5,4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1602,10</v>
      </c>
      <c r="J44" s="7" t="str">
        <f t="shared" si="13"/>
        <v>1602,10,5</v>
      </c>
      <c r="K44" s="7" t="str">
        <f t="shared" si="23"/>
        <v/>
      </c>
      <c r="L44" s="7" t="str">
        <f t="shared" si="14"/>
        <v/>
      </c>
      <c r="M44" s="7" t="str">
        <f t="shared" si="15"/>
        <v>1602,10,5</v>
      </c>
      <c r="N44" s="7" t="str">
        <f t="shared" si="23"/>
        <v>1602,10</v>
      </c>
      <c r="O44" s="7" t="str">
        <f t="shared" si="16"/>
        <v>1602,10,5</v>
      </c>
      <c r="P44" s="7" t="str">
        <f t="shared" si="17"/>
        <v/>
      </c>
      <c r="Q44" s="7" t="str">
        <f t="shared" si="18"/>
        <v/>
      </c>
      <c r="R44" s="7" t="str">
        <f t="shared" si="19"/>
        <v>1602,10,5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1602,10</v>
      </c>
      <c r="J45" s="7" t="str">
        <f t="shared" si="13"/>
        <v>1602,10,6</v>
      </c>
      <c r="K45" s="7" t="str">
        <f t="shared" si="24"/>
        <v/>
      </c>
      <c r="L45" s="7" t="str">
        <f t="shared" si="14"/>
        <v/>
      </c>
      <c r="M45" s="7" t="str">
        <f t="shared" si="15"/>
        <v>1602,10,6</v>
      </c>
      <c r="N45" s="7" t="str">
        <f t="shared" si="24"/>
        <v>1602,10</v>
      </c>
      <c r="O45" s="7" t="str">
        <f t="shared" si="16"/>
        <v>1602,10,6</v>
      </c>
      <c r="P45" s="7" t="str">
        <f t="shared" si="17"/>
        <v/>
      </c>
      <c r="Q45" s="7" t="str">
        <f t="shared" si="18"/>
        <v/>
      </c>
      <c r="R45" s="7" t="str">
        <f t="shared" si="19"/>
        <v>1602,10,6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1602,10</v>
      </c>
      <c r="J46" s="7" t="str">
        <f t="shared" si="13"/>
        <v>1602,10,7</v>
      </c>
      <c r="K46" s="7" t="str">
        <f t="shared" si="25"/>
        <v/>
      </c>
      <c r="L46" s="7" t="str">
        <f t="shared" si="14"/>
        <v/>
      </c>
      <c r="M46" s="7" t="str">
        <f t="shared" si="15"/>
        <v>1602,10,7</v>
      </c>
      <c r="N46" s="7" t="str">
        <f t="shared" si="25"/>
        <v>1602,10</v>
      </c>
      <c r="O46" s="7" t="str">
        <f t="shared" si="16"/>
        <v>1602,10,7</v>
      </c>
      <c r="P46" s="7" t="str">
        <f t="shared" si="17"/>
        <v/>
      </c>
      <c r="Q46" s="7" t="str">
        <f t="shared" si="18"/>
        <v/>
      </c>
      <c r="R46" s="7" t="str">
        <f t="shared" si="19"/>
        <v>1602,10,7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1602,10</v>
      </c>
      <c r="J47" s="7" t="str">
        <f t="shared" si="13"/>
        <v>1602,10,8</v>
      </c>
      <c r="K47" s="7" t="str">
        <f t="shared" si="26"/>
        <v>1605,5</v>
      </c>
      <c r="L47" s="7" t="str">
        <f t="shared" si="14"/>
        <v>1605,5,8</v>
      </c>
      <c r="M47" s="7" t="str">
        <f t="shared" si="15"/>
        <v>1602,10,8;1605,5,8</v>
      </c>
      <c r="N47" s="7" t="str">
        <f t="shared" si="26"/>
        <v>1602,10</v>
      </c>
      <c r="O47" s="7" t="str">
        <f t="shared" si="16"/>
        <v>1602,10,8</v>
      </c>
      <c r="P47" s="7" t="str">
        <f t="shared" si="17"/>
        <v>1605,5</v>
      </c>
      <c r="Q47" s="7" t="str">
        <f t="shared" si="18"/>
        <v>1605,5,8</v>
      </c>
      <c r="R47" s="7" t="str">
        <f t="shared" si="19"/>
        <v>1602,10,8;1605,5,8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1602,15</v>
      </c>
      <c r="J48" s="7" t="str">
        <f t="shared" si="13"/>
        <v>1602,15,9</v>
      </c>
      <c r="K48" s="7" t="str">
        <f t="shared" si="27"/>
        <v/>
      </c>
      <c r="L48" s="7" t="str">
        <f t="shared" si="14"/>
        <v/>
      </c>
      <c r="M48" s="7" t="str">
        <f t="shared" si="15"/>
        <v>1602,15,9</v>
      </c>
      <c r="N48" s="7" t="str">
        <f t="shared" si="27"/>
        <v>1602,15</v>
      </c>
      <c r="O48" s="7" t="str">
        <f t="shared" si="16"/>
        <v>1602,15,9</v>
      </c>
      <c r="P48" s="7" t="str">
        <f t="shared" si="17"/>
        <v/>
      </c>
      <c r="Q48" s="7" t="str">
        <f t="shared" si="18"/>
        <v/>
      </c>
      <c r="R48" s="7" t="str">
        <f t="shared" si="19"/>
        <v>1602,15,9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1602,15</v>
      </c>
      <c r="J49" s="7" t="str">
        <f t="shared" si="13"/>
        <v>1602,15,10</v>
      </c>
      <c r="K49" s="7" t="str">
        <f t="shared" si="28"/>
        <v/>
      </c>
      <c r="L49" s="7" t="str">
        <f t="shared" si="14"/>
        <v/>
      </c>
      <c r="M49" s="7" t="str">
        <f t="shared" si="15"/>
        <v>1602,15,10</v>
      </c>
      <c r="N49" s="7" t="str">
        <f t="shared" si="28"/>
        <v>1602,15</v>
      </c>
      <c r="O49" s="7" t="str">
        <f t="shared" si="16"/>
        <v>1602,15,10</v>
      </c>
      <c r="P49" s="7" t="str">
        <f t="shared" si="17"/>
        <v/>
      </c>
      <c r="Q49" s="7" t="str">
        <f t="shared" si="18"/>
        <v/>
      </c>
      <c r="R49" s="7" t="str">
        <f t="shared" si="19"/>
        <v>1602,15,10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1603,15</v>
      </c>
      <c r="J50" s="7" t="str">
        <f t="shared" si="13"/>
        <v>1603,15,11</v>
      </c>
      <c r="K50" s="7" t="str">
        <f t="shared" si="29"/>
        <v/>
      </c>
      <c r="L50" s="7" t="str">
        <f t="shared" si="14"/>
        <v/>
      </c>
      <c r="M50" s="7" t="str">
        <f t="shared" si="15"/>
        <v>1603,15,11</v>
      </c>
      <c r="N50" s="7" t="str">
        <f t="shared" si="29"/>
        <v>1603,15</v>
      </c>
      <c r="O50" s="7" t="str">
        <f t="shared" si="16"/>
        <v>1603,15,11</v>
      </c>
      <c r="P50" s="7" t="str">
        <f t="shared" si="17"/>
        <v/>
      </c>
      <c r="Q50" s="7" t="str">
        <f t="shared" si="18"/>
        <v/>
      </c>
      <c r="R50" s="7" t="str">
        <f t="shared" si="19"/>
        <v>1603,15,11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1603,15</v>
      </c>
      <c r="J51" s="7" t="str">
        <f t="shared" si="13"/>
        <v>1603,15,12</v>
      </c>
      <c r="K51" s="7" t="str">
        <f t="shared" si="30"/>
        <v>1606,1</v>
      </c>
      <c r="L51" s="7" t="str">
        <f t="shared" si="14"/>
        <v>1606,1,12</v>
      </c>
      <c r="M51" s="7" t="str">
        <f t="shared" si="15"/>
        <v>1603,15,12;1606,1,12</v>
      </c>
      <c r="N51" s="7" t="str">
        <f t="shared" si="30"/>
        <v>1603,15</v>
      </c>
      <c r="O51" s="7" t="str">
        <f t="shared" si="16"/>
        <v>1603,15,12</v>
      </c>
      <c r="P51" s="7" t="str">
        <f t="shared" si="17"/>
        <v>1606,1</v>
      </c>
      <c r="Q51" s="7" t="str">
        <f t="shared" si="18"/>
        <v>1606,1,12</v>
      </c>
      <c r="R51" s="7" t="str">
        <f t="shared" si="19"/>
        <v>1603,15,12;1606,1,12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1601,10,1|1601,10,2|1601,10,3|1601,10,4;1605,5,4|1602,10,5|1602,10,6|1602,10,7|1602,10,8;1605,5,8|1602,15,9|1602,15,10|1603,15,11|1603,15,12;1606,1,12</v>
      </c>
      <c r="N71" s="7"/>
      <c r="O71" s="7"/>
      <c r="P71" s="7"/>
      <c r="Q71" s="7"/>
      <c r="R71" s="15" t="str">
        <f>_xlfn.TEXTJOIN("|",TRUE,R40:R69)</f>
        <v>1601,10,1|1601,10,2|1601,10,3|1601,10,4;1605,5,4|1602,10,5|1602,10,6|1602,10,7|1602,10,8;1605,5,8|1602,15,9|1602,15,10|1603,15,11|1603,15,12;1606,1,12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1701</v>
      </c>
      <c r="Y1" s="7">
        <v>3</v>
      </c>
      <c r="Z1" s="4">
        <v>1702</v>
      </c>
      <c r="AA1" s="7">
        <v>1703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1701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1701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1705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1701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1701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1706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1701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1701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1701</v>
      </c>
      <c r="J5" s="7">
        <v>10</v>
      </c>
      <c r="K5" s="7">
        <f>IF(H5=1,"",INDEX($X$1:$X$3,MATCH(H5,$V$1:$V$3,0)))</f>
        <v>1705</v>
      </c>
      <c r="L5" s="7">
        <f t="shared" si="4"/>
        <v>5</v>
      </c>
      <c r="M5" s="7"/>
      <c r="N5" s="7">
        <f>IF(A5&lt;5,$X$1,IF(A5&gt;10,$AA$1,$Z$1))</f>
        <v>1701</v>
      </c>
      <c r="O5" s="7">
        <v>10</v>
      </c>
      <c r="P5" s="7">
        <f>IF(H5=1,"",INDEX($X$1:$X$3,MATCH(H5,$V$1:$V$3,0)))</f>
        <v>1705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1702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1702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1702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1702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1702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1702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1702</v>
      </c>
      <c r="J9" s="7">
        <v>10</v>
      </c>
      <c r="K9" s="7">
        <f>IF(H9=1,"",INDEX($X$1:$X$3,MATCH(H9,$V$1:$V$3,0)))</f>
        <v>1705</v>
      </c>
      <c r="L9" s="7">
        <f t="shared" si="4"/>
        <v>5</v>
      </c>
      <c r="M9" s="7"/>
      <c r="N9" s="7">
        <f>IF(A9&lt;5,$X$1,IF(A9&gt;10,$AA$1,$Z$1))</f>
        <v>1702</v>
      </c>
      <c r="O9" s="7">
        <v>10</v>
      </c>
      <c r="P9" s="7">
        <f>IF(H9=1,"",INDEX($X$1:$X$3,MATCH(H9,$V$1:$V$3,0)))</f>
        <v>1705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1702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1702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1702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1702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1703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1703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1703</v>
      </c>
      <c r="J13" s="7">
        <v>15</v>
      </c>
      <c r="K13" s="7">
        <f>IF(H13=1,"",INDEX($X$1:$X$3,MATCH(H13,$V$1:$V$3,0)))</f>
        <v>1706</v>
      </c>
      <c r="L13" s="7">
        <f t="shared" si="4"/>
        <v>1</v>
      </c>
      <c r="M13" s="7"/>
      <c r="N13" s="7">
        <f>IF(A13&lt;5,$X$1,IF(A13&gt;10,$AA$1,$Z$1))</f>
        <v>1703</v>
      </c>
      <c r="O13" s="7">
        <v>15</v>
      </c>
      <c r="P13" s="7">
        <f>IF(H13=1,"",INDEX($X$1:$X$3,MATCH(H13,$V$1:$V$3,0)))</f>
        <v>1706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Y32" s="4"/>
      <c r="AA32" s="7"/>
    </row>
    <row r="33" spans="1:2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1701,10</v>
      </c>
      <c r="J40" s="7" t="str">
        <f t="shared" ref="J40:J69" si="13">IF(I40="","",_xlfn.TEXTJOIN(",",TRUE,I40,H40))</f>
        <v>1701,10,1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1701,10,1</v>
      </c>
      <c r="N40" s="7" t="str">
        <f t="shared" si="12"/>
        <v>1701,10</v>
      </c>
      <c r="O40" s="7" t="str">
        <f t="shared" ref="O40:O69" si="16">IF(N40="","",N40&amp;","&amp;H40)</f>
        <v>1701,10,1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1701,10,1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1701,10</v>
      </c>
      <c r="J41" s="7" t="str">
        <f t="shared" si="13"/>
        <v>1701,10,2</v>
      </c>
      <c r="K41" s="7" t="str">
        <f t="shared" si="20"/>
        <v/>
      </c>
      <c r="L41" s="7" t="str">
        <f t="shared" si="14"/>
        <v/>
      </c>
      <c r="M41" s="7" t="str">
        <f t="shared" si="15"/>
        <v>1701,10,2</v>
      </c>
      <c r="N41" s="7" t="str">
        <f t="shared" si="20"/>
        <v>1701,10</v>
      </c>
      <c r="O41" s="7" t="str">
        <f t="shared" si="16"/>
        <v>1701,10,2</v>
      </c>
      <c r="P41" s="7" t="str">
        <f t="shared" si="17"/>
        <v/>
      </c>
      <c r="Q41" s="7" t="str">
        <f t="shared" si="18"/>
        <v/>
      </c>
      <c r="R41" s="7" t="str">
        <f t="shared" si="19"/>
        <v>1701,10,2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1701,10</v>
      </c>
      <c r="J42" s="7" t="str">
        <f t="shared" si="13"/>
        <v>1701,10,3</v>
      </c>
      <c r="K42" s="7" t="str">
        <f t="shared" si="21"/>
        <v/>
      </c>
      <c r="L42" s="7" t="str">
        <f t="shared" si="14"/>
        <v/>
      </c>
      <c r="M42" s="7" t="str">
        <f t="shared" si="15"/>
        <v>1701,10,3</v>
      </c>
      <c r="N42" s="7" t="str">
        <f t="shared" si="21"/>
        <v>1701,10</v>
      </c>
      <c r="O42" s="7" t="str">
        <f t="shared" si="16"/>
        <v>1701,10,3</v>
      </c>
      <c r="P42" s="7" t="str">
        <f t="shared" si="17"/>
        <v/>
      </c>
      <c r="Q42" s="7" t="str">
        <f t="shared" si="18"/>
        <v/>
      </c>
      <c r="R42" s="7" t="str">
        <f t="shared" si="19"/>
        <v>1701,10,3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1701,10</v>
      </c>
      <c r="J43" s="7" t="str">
        <f t="shared" si="13"/>
        <v>1701,10,4</v>
      </c>
      <c r="K43" s="7" t="str">
        <f t="shared" si="22"/>
        <v>1705,5</v>
      </c>
      <c r="L43" s="7" t="str">
        <f t="shared" si="14"/>
        <v>1705,5,4</v>
      </c>
      <c r="M43" s="7" t="str">
        <f t="shared" si="15"/>
        <v>1701,10,4;1705,5,4</v>
      </c>
      <c r="N43" s="7" t="str">
        <f t="shared" si="22"/>
        <v>1701,10</v>
      </c>
      <c r="O43" s="7" t="str">
        <f t="shared" si="16"/>
        <v>1701,10,4</v>
      </c>
      <c r="P43" s="7" t="str">
        <f t="shared" si="17"/>
        <v>1705,5</v>
      </c>
      <c r="Q43" s="7" t="str">
        <f t="shared" si="18"/>
        <v>1705,5,4</v>
      </c>
      <c r="R43" s="7" t="str">
        <f t="shared" si="19"/>
        <v>1701,10,4;1705,5,4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1702,10</v>
      </c>
      <c r="J44" s="7" t="str">
        <f t="shared" si="13"/>
        <v>1702,10,5</v>
      </c>
      <c r="K44" s="7" t="str">
        <f t="shared" si="23"/>
        <v/>
      </c>
      <c r="L44" s="7" t="str">
        <f t="shared" si="14"/>
        <v/>
      </c>
      <c r="M44" s="7" t="str">
        <f t="shared" si="15"/>
        <v>1702,10,5</v>
      </c>
      <c r="N44" s="7" t="str">
        <f t="shared" si="23"/>
        <v>1702,10</v>
      </c>
      <c r="O44" s="7" t="str">
        <f t="shared" si="16"/>
        <v>1702,10,5</v>
      </c>
      <c r="P44" s="7" t="str">
        <f t="shared" si="17"/>
        <v/>
      </c>
      <c r="Q44" s="7" t="str">
        <f t="shared" si="18"/>
        <v/>
      </c>
      <c r="R44" s="7" t="str">
        <f t="shared" si="19"/>
        <v>1702,10,5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1702,10</v>
      </c>
      <c r="J45" s="7" t="str">
        <f t="shared" si="13"/>
        <v>1702,10,6</v>
      </c>
      <c r="K45" s="7" t="str">
        <f t="shared" si="24"/>
        <v/>
      </c>
      <c r="L45" s="7" t="str">
        <f t="shared" si="14"/>
        <v/>
      </c>
      <c r="M45" s="7" t="str">
        <f t="shared" si="15"/>
        <v>1702,10,6</v>
      </c>
      <c r="N45" s="7" t="str">
        <f t="shared" si="24"/>
        <v>1702,10</v>
      </c>
      <c r="O45" s="7" t="str">
        <f t="shared" si="16"/>
        <v>1702,10,6</v>
      </c>
      <c r="P45" s="7" t="str">
        <f t="shared" si="17"/>
        <v/>
      </c>
      <c r="Q45" s="7" t="str">
        <f t="shared" si="18"/>
        <v/>
      </c>
      <c r="R45" s="7" t="str">
        <f t="shared" si="19"/>
        <v>1702,10,6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1702,10</v>
      </c>
      <c r="J46" s="7" t="str">
        <f t="shared" si="13"/>
        <v>1702,10,7</v>
      </c>
      <c r="K46" s="7" t="str">
        <f t="shared" si="25"/>
        <v/>
      </c>
      <c r="L46" s="7" t="str">
        <f t="shared" si="14"/>
        <v/>
      </c>
      <c r="M46" s="7" t="str">
        <f t="shared" si="15"/>
        <v>1702,10,7</v>
      </c>
      <c r="N46" s="7" t="str">
        <f t="shared" si="25"/>
        <v>1702,10</v>
      </c>
      <c r="O46" s="7" t="str">
        <f t="shared" si="16"/>
        <v>1702,10,7</v>
      </c>
      <c r="P46" s="7" t="str">
        <f t="shared" si="17"/>
        <v/>
      </c>
      <c r="Q46" s="7" t="str">
        <f t="shared" si="18"/>
        <v/>
      </c>
      <c r="R46" s="7" t="str">
        <f t="shared" si="19"/>
        <v>1702,10,7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1702,10</v>
      </c>
      <c r="J47" s="7" t="str">
        <f t="shared" si="13"/>
        <v>1702,10,8</v>
      </c>
      <c r="K47" s="7" t="str">
        <f t="shared" si="26"/>
        <v>1705,5</v>
      </c>
      <c r="L47" s="7" t="str">
        <f t="shared" si="14"/>
        <v>1705,5,8</v>
      </c>
      <c r="M47" s="7" t="str">
        <f t="shared" si="15"/>
        <v>1702,10,8;1705,5,8</v>
      </c>
      <c r="N47" s="7" t="str">
        <f t="shared" si="26"/>
        <v>1702,10</v>
      </c>
      <c r="O47" s="7" t="str">
        <f t="shared" si="16"/>
        <v>1702,10,8</v>
      </c>
      <c r="P47" s="7" t="str">
        <f t="shared" si="17"/>
        <v>1705,5</v>
      </c>
      <c r="Q47" s="7" t="str">
        <f t="shared" si="18"/>
        <v>1705,5,8</v>
      </c>
      <c r="R47" s="7" t="str">
        <f t="shared" si="19"/>
        <v>1702,10,8;1705,5,8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1702,15</v>
      </c>
      <c r="J48" s="7" t="str">
        <f t="shared" si="13"/>
        <v>1702,15,9</v>
      </c>
      <c r="K48" s="7" t="str">
        <f t="shared" si="27"/>
        <v/>
      </c>
      <c r="L48" s="7" t="str">
        <f t="shared" si="14"/>
        <v/>
      </c>
      <c r="M48" s="7" t="str">
        <f t="shared" si="15"/>
        <v>1702,15,9</v>
      </c>
      <c r="N48" s="7" t="str">
        <f t="shared" si="27"/>
        <v>1702,15</v>
      </c>
      <c r="O48" s="7" t="str">
        <f t="shared" si="16"/>
        <v>1702,15,9</v>
      </c>
      <c r="P48" s="7" t="str">
        <f t="shared" si="17"/>
        <v/>
      </c>
      <c r="Q48" s="7" t="str">
        <f t="shared" si="18"/>
        <v/>
      </c>
      <c r="R48" s="7" t="str">
        <f t="shared" si="19"/>
        <v>1702,15,9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1702,15</v>
      </c>
      <c r="J49" s="7" t="str">
        <f t="shared" si="13"/>
        <v>1702,15,10</v>
      </c>
      <c r="K49" s="7" t="str">
        <f t="shared" si="28"/>
        <v/>
      </c>
      <c r="L49" s="7" t="str">
        <f t="shared" si="14"/>
        <v/>
      </c>
      <c r="M49" s="7" t="str">
        <f t="shared" si="15"/>
        <v>1702,15,10</v>
      </c>
      <c r="N49" s="7" t="str">
        <f t="shared" si="28"/>
        <v>1702,15</v>
      </c>
      <c r="O49" s="7" t="str">
        <f t="shared" si="16"/>
        <v>1702,15,10</v>
      </c>
      <c r="P49" s="7" t="str">
        <f t="shared" si="17"/>
        <v/>
      </c>
      <c r="Q49" s="7" t="str">
        <f t="shared" si="18"/>
        <v/>
      </c>
      <c r="R49" s="7" t="str">
        <f t="shared" si="19"/>
        <v>1702,15,10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1703,15</v>
      </c>
      <c r="J50" s="7" t="str">
        <f t="shared" si="13"/>
        <v>1703,15,11</v>
      </c>
      <c r="K50" s="7" t="str">
        <f t="shared" si="29"/>
        <v/>
      </c>
      <c r="L50" s="7" t="str">
        <f t="shared" si="14"/>
        <v/>
      </c>
      <c r="M50" s="7" t="str">
        <f t="shared" si="15"/>
        <v>1703,15,11</v>
      </c>
      <c r="N50" s="7" t="str">
        <f t="shared" si="29"/>
        <v>1703,15</v>
      </c>
      <c r="O50" s="7" t="str">
        <f t="shared" si="16"/>
        <v>1703,15,11</v>
      </c>
      <c r="P50" s="7" t="str">
        <f t="shared" si="17"/>
        <v/>
      </c>
      <c r="Q50" s="7" t="str">
        <f t="shared" si="18"/>
        <v/>
      </c>
      <c r="R50" s="7" t="str">
        <f t="shared" si="19"/>
        <v>1703,15,11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1703,15</v>
      </c>
      <c r="J51" s="7" t="str">
        <f t="shared" si="13"/>
        <v>1703,15,12</v>
      </c>
      <c r="K51" s="7" t="str">
        <f t="shared" si="30"/>
        <v>1706,1</v>
      </c>
      <c r="L51" s="7" t="str">
        <f t="shared" si="14"/>
        <v>1706,1,12</v>
      </c>
      <c r="M51" s="7" t="str">
        <f t="shared" si="15"/>
        <v>1703,15,12;1706,1,12</v>
      </c>
      <c r="N51" s="7" t="str">
        <f t="shared" si="30"/>
        <v>1703,15</v>
      </c>
      <c r="O51" s="7" t="str">
        <f t="shared" si="16"/>
        <v>1703,15,12</v>
      </c>
      <c r="P51" s="7" t="str">
        <f t="shared" si="17"/>
        <v>1706,1</v>
      </c>
      <c r="Q51" s="7" t="str">
        <f t="shared" si="18"/>
        <v>1706,1,12</v>
      </c>
      <c r="R51" s="7" t="str">
        <f t="shared" si="19"/>
        <v>1703,15,12;1706,1,12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1701,10,1|1701,10,2|1701,10,3|1701,10,4;1705,5,4|1702,10,5|1702,10,6|1702,10,7|1702,10,8;1705,5,8|1702,15,9|1702,15,10|1703,15,11|1703,15,12;1706,1,12</v>
      </c>
      <c r="N71" s="7"/>
      <c r="O71" s="7"/>
      <c r="P71" s="7"/>
      <c r="Q71" s="7"/>
      <c r="R71" s="15" t="str">
        <f>_xlfn.TEXTJOIN("|",TRUE,R40:R69)</f>
        <v>1701,10,1|1701,10,2|1701,10,3|1701,10,4;1705,5,4|1702,10,5|1702,10,6|1702,10,7|1702,10,8;1705,5,8|1702,15,9|1702,15,10|1703,15,11|1703,15,12;1706,1,12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1801</v>
      </c>
      <c r="Y1" s="7">
        <v>3</v>
      </c>
      <c r="Z1" s="4">
        <v>1802</v>
      </c>
      <c r="AA1" s="7">
        <v>1803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1801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1801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1805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1801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1801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1806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1801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1801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1801</v>
      </c>
      <c r="J5" s="7">
        <v>10</v>
      </c>
      <c r="K5" s="7">
        <f>IF(H5=1,"",INDEX($X$1:$X$3,MATCH(H5,$V$1:$V$3,0)))</f>
        <v>1805</v>
      </c>
      <c r="L5" s="7">
        <f t="shared" si="4"/>
        <v>5</v>
      </c>
      <c r="M5" s="7"/>
      <c r="N5" s="7">
        <f>IF(A5&lt;5,$X$1,IF(A5&gt;10,$AA$1,$Z$1))</f>
        <v>1801</v>
      </c>
      <c r="O5" s="7">
        <v>10</v>
      </c>
      <c r="P5" s="7">
        <f>IF(H5=1,"",INDEX($X$1:$X$3,MATCH(H5,$V$1:$V$3,0)))</f>
        <v>1805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1802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1802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1802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1802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1802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1802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1802</v>
      </c>
      <c r="J9" s="7">
        <v>10</v>
      </c>
      <c r="K9" s="7">
        <f>IF(H9=1,"",INDEX($X$1:$X$3,MATCH(H9,$V$1:$V$3,0)))</f>
        <v>1805</v>
      </c>
      <c r="L9" s="7">
        <f t="shared" si="4"/>
        <v>5</v>
      </c>
      <c r="M9" s="7"/>
      <c r="N9" s="7">
        <f>IF(A9&lt;5,$X$1,IF(A9&gt;10,$AA$1,$Z$1))</f>
        <v>1802</v>
      </c>
      <c r="O9" s="7">
        <v>10</v>
      </c>
      <c r="P9" s="7">
        <f>IF(H9=1,"",INDEX($X$1:$X$3,MATCH(H9,$V$1:$V$3,0)))</f>
        <v>1805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1802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1802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1802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1802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1803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1803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1803</v>
      </c>
      <c r="J13" s="7">
        <v>15</v>
      </c>
      <c r="K13" s="7">
        <f>IF(H13=1,"",INDEX($X$1:$X$3,MATCH(H13,$V$1:$V$3,0)))</f>
        <v>1806</v>
      </c>
      <c r="L13" s="7">
        <f t="shared" si="4"/>
        <v>1</v>
      </c>
      <c r="M13" s="7"/>
      <c r="N13" s="7">
        <f>IF(A13&lt;5,$X$1,IF(A13&gt;10,$AA$1,$Z$1))</f>
        <v>1803</v>
      </c>
      <c r="O13" s="7">
        <v>15</v>
      </c>
      <c r="P13" s="7">
        <f>IF(H13=1,"",INDEX($X$1:$X$3,MATCH(H13,$V$1:$V$3,0)))</f>
        <v>1806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Y32" s="4"/>
      <c r="AA32" s="7"/>
    </row>
    <row r="33" spans="1:2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1801,10</v>
      </c>
      <c r="J40" s="7" t="str">
        <f t="shared" ref="J40:J69" si="13">IF(I40="","",_xlfn.TEXTJOIN(",",TRUE,I40,H40))</f>
        <v>1801,10,1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1801,10,1</v>
      </c>
      <c r="N40" s="7" t="str">
        <f t="shared" si="12"/>
        <v>1801,10</v>
      </c>
      <c r="O40" s="7" t="str">
        <f t="shared" ref="O40:O69" si="16">IF(N40="","",N40&amp;","&amp;H40)</f>
        <v>1801,10,1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1801,10,1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1801,10</v>
      </c>
      <c r="J41" s="7" t="str">
        <f t="shared" si="13"/>
        <v>1801,10,2</v>
      </c>
      <c r="K41" s="7" t="str">
        <f t="shared" si="20"/>
        <v/>
      </c>
      <c r="L41" s="7" t="str">
        <f t="shared" si="14"/>
        <v/>
      </c>
      <c r="M41" s="7" t="str">
        <f t="shared" si="15"/>
        <v>1801,10,2</v>
      </c>
      <c r="N41" s="7" t="str">
        <f t="shared" si="20"/>
        <v>1801,10</v>
      </c>
      <c r="O41" s="7" t="str">
        <f t="shared" si="16"/>
        <v>1801,10,2</v>
      </c>
      <c r="P41" s="7" t="str">
        <f t="shared" si="17"/>
        <v/>
      </c>
      <c r="Q41" s="7" t="str">
        <f t="shared" si="18"/>
        <v/>
      </c>
      <c r="R41" s="7" t="str">
        <f t="shared" si="19"/>
        <v>1801,10,2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1801,10</v>
      </c>
      <c r="J42" s="7" t="str">
        <f t="shared" si="13"/>
        <v>1801,10,3</v>
      </c>
      <c r="K42" s="7" t="str">
        <f t="shared" si="21"/>
        <v/>
      </c>
      <c r="L42" s="7" t="str">
        <f t="shared" si="14"/>
        <v/>
      </c>
      <c r="M42" s="7" t="str">
        <f t="shared" si="15"/>
        <v>1801,10,3</v>
      </c>
      <c r="N42" s="7" t="str">
        <f t="shared" si="21"/>
        <v>1801,10</v>
      </c>
      <c r="O42" s="7" t="str">
        <f t="shared" si="16"/>
        <v>1801,10,3</v>
      </c>
      <c r="P42" s="7" t="str">
        <f t="shared" si="17"/>
        <v/>
      </c>
      <c r="Q42" s="7" t="str">
        <f t="shared" si="18"/>
        <v/>
      </c>
      <c r="R42" s="7" t="str">
        <f t="shared" si="19"/>
        <v>1801,10,3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1801,10</v>
      </c>
      <c r="J43" s="7" t="str">
        <f t="shared" si="13"/>
        <v>1801,10,4</v>
      </c>
      <c r="K43" s="7" t="str">
        <f t="shared" si="22"/>
        <v>1805,5</v>
      </c>
      <c r="L43" s="7" t="str">
        <f t="shared" si="14"/>
        <v>1805,5,4</v>
      </c>
      <c r="M43" s="7" t="str">
        <f t="shared" si="15"/>
        <v>1801,10,4;1805,5,4</v>
      </c>
      <c r="N43" s="7" t="str">
        <f t="shared" si="22"/>
        <v>1801,10</v>
      </c>
      <c r="O43" s="7" t="str">
        <f t="shared" si="16"/>
        <v>1801,10,4</v>
      </c>
      <c r="P43" s="7" t="str">
        <f t="shared" si="17"/>
        <v>1805,5</v>
      </c>
      <c r="Q43" s="7" t="str">
        <f t="shared" si="18"/>
        <v>1805,5,4</v>
      </c>
      <c r="R43" s="7" t="str">
        <f t="shared" si="19"/>
        <v>1801,10,4;1805,5,4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1802,10</v>
      </c>
      <c r="J44" s="7" t="str">
        <f t="shared" si="13"/>
        <v>1802,10,5</v>
      </c>
      <c r="K44" s="7" t="str">
        <f t="shared" si="23"/>
        <v/>
      </c>
      <c r="L44" s="7" t="str">
        <f t="shared" si="14"/>
        <v/>
      </c>
      <c r="M44" s="7" t="str">
        <f t="shared" si="15"/>
        <v>1802,10,5</v>
      </c>
      <c r="N44" s="7" t="str">
        <f t="shared" si="23"/>
        <v>1802,10</v>
      </c>
      <c r="O44" s="7" t="str">
        <f t="shared" si="16"/>
        <v>1802,10,5</v>
      </c>
      <c r="P44" s="7" t="str">
        <f t="shared" si="17"/>
        <v/>
      </c>
      <c r="Q44" s="7" t="str">
        <f t="shared" si="18"/>
        <v/>
      </c>
      <c r="R44" s="7" t="str">
        <f t="shared" si="19"/>
        <v>1802,10,5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1802,10</v>
      </c>
      <c r="J45" s="7" t="str">
        <f t="shared" si="13"/>
        <v>1802,10,6</v>
      </c>
      <c r="K45" s="7" t="str">
        <f t="shared" si="24"/>
        <v/>
      </c>
      <c r="L45" s="7" t="str">
        <f t="shared" si="14"/>
        <v/>
      </c>
      <c r="M45" s="7" t="str">
        <f t="shared" si="15"/>
        <v>1802,10,6</v>
      </c>
      <c r="N45" s="7" t="str">
        <f t="shared" si="24"/>
        <v>1802,10</v>
      </c>
      <c r="O45" s="7" t="str">
        <f t="shared" si="16"/>
        <v>1802,10,6</v>
      </c>
      <c r="P45" s="7" t="str">
        <f t="shared" si="17"/>
        <v/>
      </c>
      <c r="Q45" s="7" t="str">
        <f t="shared" si="18"/>
        <v/>
      </c>
      <c r="R45" s="7" t="str">
        <f t="shared" si="19"/>
        <v>1802,10,6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1802,10</v>
      </c>
      <c r="J46" s="7" t="str">
        <f t="shared" si="13"/>
        <v>1802,10,7</v>
      </c>
      <c r="K46" s="7" t="str">
        <f t="shared" si="25"/>
        <v/>
      </c>
      <c r="L46" s="7" t="str">
        <f t="shared" si="14"/>
        <v/>
      </c>
      <c r="M46" s="7" t="str">
        <f t="shared" si="15"/>
        <v>1802,10,7</v>
      </c>
      <c r="N46" s="7" t="str">
        <f t="shared" si="25"/>
        <v>1802,10</v>
      </c>
      <c r="O46" s="7" t="str">
        <f t="shared" si="16"/>
        <v>1802,10,7</v>
      </c>
      <c r="P46" s="7" t="str">
        <f t="shared" si="17"/>
        <v/>
      </c>
      <c r="Q46" s="7" t="str">
        <f t="shared" si="18"/>
        <v/>
      </c>
      <c r="R46" s="7" t="str">
        <f t="shared" si="19"/>
        <v>1802,10,7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1802,10</v>
      </c>
      <c r="J47" s="7" t="str">
        <f t="shared" si="13"/>
        <v>1802,10,8</v>
      </c>
      <c r="K47" s="7" t="str">
        <f t="shared" si="26"/>
        <v>1805,5</v>
      </c>
      <c r="L47" s="7" t="str">
        <f t="shared" si="14"/>
        <v>1805,5,8</v>
      </c>
      <c r="M47" s="7" t="str">
        <f t="shared" si="15"/>
        <v>1802,10,8;1805,5,8</v>
      </c>
      <c r="N47" s="7" t="str">
        <f t="shared" si="26"/>
        <v>1802,10</v>
      </c>
      <c r="O47" s="7" t="str">
        <f t="shared" si="16"/>
        <v>1802,10,8</v>
      </c>
      <c r="P47" s="7" t="str">
        <f t="shared" si="17"/>
        <v>1805,5</v>
      </c>
      <c r="Q47" s="7" t="str">
        <f t="shared" si="18"/>
        <v>1805,5,8</v>
      </c>
      <c r="R47" s="7" t="str">
        <f t="shared" si="19"/>
        <v>1802,10,8;1805,5,8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1802,15</v>
      </c>
      <c r="J48" s="7" t="str">
        <f t="shared" si="13"/>
        <v>1802,15,9</v>
      </c>
      <c r="K48" s="7" t="str">
        <f t="shared" si="27"/>
        <v/>
      </c>
      <c r="L48" s="7" t="str">
        <f t="shared" si="14"/>
        <v/>
      </c>
      <c r="M48" s="7" t="str">
        <f t="shared" si="15"/>
        <v>1802,15,9</v>
      </c>
      <c r="N48" s="7" t="str">
        <f t="shared" si="27"/>
        <v>1802,15</v>
      </c>
      <c r="O48" s="7" t="str">
        <f t="shared" si="16"/>
        <v>1802,15,9</v>
      </c>
      <c r="P48" s="7" t="str">
        <f t="shared" si="17"/>
        <v/>
      </c>
      <c r="Q48" s="7" t="str">
        <f t="shared" si="18"/>
        <v/>
      </c>
      <c r="R48" s="7" t="str">
        <f t="shared" si="19"/>
        <v>1802,15,9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1802,15</v>
      </c>
      <c r="J49" s="7" t="str">
        <f t="shared" si="13"/>
        <v>1802,15,10</v>
      </c>
      <c r="K49" s="7" t="str">
        <f t="shared" si="28"/>
        <v/>
      </c>
      <c r="L49" s="7" t="str">
        <f t="shared" si="14"/>
        <v/>
      </c>
      <c r="M49" s="7" t="str">
        <f t="shared" si="15"/>
        <v>1802,15,10</v>
      </c>
      <c r="N49" s="7" t="str">
        <f t="shared" si="28"/>
        <v>1802,15</v>
      </c>
      <c r="O49" s="7" t="str">
        <f t="shared" si="16"/>
        <v>1802,15,10</v>
      </c>
      <c r="P49" s="7" t="str">
        <f t="shared" si="17"/>
        <v/>
      </c>
      <c r="Q49" s="7" t="str">
        <f t="shared" si="18"/>
        <v/>
      </c>
      <c r="R49" s="7" t="str">
        <f t="shared" si="19"/>
        <v>1802,15,10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1803,15</v>
      </c>
      <c r="J50" s="7" t="str">
        <f t="shared" si="13"/>
        <v>1803,15,11</v>
      </c>
      <c r="K50" s="7" t="str">
        <f t="shared" si="29"/>
        <v/>
      </c>
      <c r="L50" s="7" t="str">
        <f t="shared" si="14"/>
        <v/>
      </c>
      <c r="M50" s="7" t="str">
        <f t="shared" si="15"/>
        <v>1803,15,11</v>
      </c>
      <c r="N50" s="7" t="str">
        <f t="shared" si="29"/>
        <v>1803,15</v>
      </c>
      <c r="O50" s="7" t="str">
        <f t="shared" si="16"/>
        <v>1803,15,11</v>
      </c>
      <c r="P50" s="7" t="str">
        <f t="shared" si="17"/>
        <v/>
      </c>
      <c r="Q50" s="7" t="str">
        <f t="shared" si="18"/>
        <v/>
      </c>
      <c r="R50" s="7" t="str">
        <f t="shared" si="19"/>
        <v>1803,15,11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1803,15</v>
      </c>
      <c r="J51" s="7" t="str">
        <f t="shared" si="13"/>
        <v>1803,15,12</v>
      </c>
      <c r="K51" s="7" t="str">
        <f t="shared" si="30"/>
        <v>1806,1</v>
      </c>
      <c r="L51" s="7" t="str">
        <f t="shared" si="14"/>
        <v>1806,1,12</v>
      </c>
      <c r="M51" s="7" t="str">
        <f t="shared" si="15"/>
        <v>1803,15,12;1806,1,12</v>
      </c>
      <c r="N51" s="7" t="str">
        <f t="shared" si="30"/>
        <v>1803,15</v>
      </c>
      <c r="O51" s="7" t="str">
        <f t="shared" si="16"/>
        <v>1803,15,12</v>
      </c>
      <c r="P51" s="7" t="str">
        <f t="shared" si="17"/>
        <v>1806,1</v>
      </c>
      <c r="Q51" s="7" t="str">
        <f t="shared" si="18"/>
        <v>1806,1,12</v>
      </c>
      <c r="R51" s="7" t="str">
        <f t="shared" si="19"/>
        <v>1803,15,12;1806,1,12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1801,10,1|1801,10,2|1801,10,3|1801,10,4;1805,5,4|1802,10,5|1802,10,6|1802,10,7|1802,10,8;1805,5,8|1802,15,9|1802,15,10|1803,15,11|1803,15,12;1806,1,12</v>
      </c>
      <c r="N71" s="7"/>
      <c r="O71" s="7"/>
      <c r="P71" s="7"/>
      <c r="Q71" s="7"/>
      <c r="R71" s="15" t="str">
        <f>_xlfn.TEXTJOIN("|",TRUE,R40:R69)</f>
        <v>1801,10,1|1801,10,2|1801,10,3|1801,10,4;1805,5,4|1802,10,5|1802,10,6|1802,10,7|1802,10,8;1805,5,8|1802,15,9|1802,15,10|1803,15,11|1803,15,12;1806,1,12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1901</v>
      </c>
      <c r="Y1" s="7">
        <v>3</v>
      </c>
      <c r="Z1" s="4">
        <v>1902</v>
      </c>
      <c r="AA1" s="7">
        <v>1903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1901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1901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1905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1901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1901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1906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1901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1901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1901</v>
      </c>
      <c r="J5" s="7">
        <v>10</v>
      </c>
      <c r="K5" s="7">
        <f>IF(H5=1,"",INDEX($X$1:$X$3,MATCH(H5,$V$1:$V$3,0)))</f>
        <v>1905</v>
      </c>
      <c r="L5" s="7">
        <f t="shared" si="4"/>
        <v>5</v>
      </c>
      <c r="M5" s="7"/>
      <c r="N5" s="7">
        <f>IF(A5&lt;5,$X$1,IF(A5&gt;10,$AA$1,$Z$1))</f>
        <v>1901</v>
      </c>
      <c r="O5" s="7">
        <v>10</v>
      </c>
      <c r="P5" s="7">
        <f>IF(H5=1,"",INDEX($X$1:$X$3,MATCH(H5,$V$1:$V$3,0)))</f>
        <v>1905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1902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1902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1902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1902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1902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1902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1902</v>
      </c>
      <c r="J9" s="7">
        <v>10</v>
      </c>
      <c r="K9" s="7">
        <f>IF(H9=1,"",INDEX($X$1:$X$3,MATCH(H9,$V$1:$V$3,0)))</f>
        <v>1905</v>
      </c>
      <c r="L9" s="7">
        <f t="shared" si="4"/>
        <v>5</v>
      </c>
      <c r="M9" s="7"/>
      <c r="N9" s="7">
        <f>IF(A9&lt;5,$X$1,IF(A9&gt;10,$AA$1,$Z$1))</f>
        <v>1902</v>
      </c>
      <c r="O9" s="7">
        <v>10</v>
      </c>
      <c r="P9" s="7">
        <f>IF(H9=1,"",INDEX($X$1:$X$3,MATCH(H9,$V$1:$V$3,0)))</f>
        <v>1905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1902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1902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1902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1902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1903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1903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1903</v>
      </c>
      <c r="J13" s="7">
        <v>15</v>
      </c>
      <c r="K13" s="7">
        <f>IF(H13=1,"",INDEX($X$1:$X$3,MATCH(H13,$V$1:$V$3,0)))</f>
        <v>1906</v>
      </c>
      <c r="L13" s="7">
        <f t="shared" si="4"/>
        <v>1</v>
      </c>
      <c r="M13" s="7"/>
      <c r="N13" s="7">
        <f>IF(A13&lt;5,$X$1,IF(A13&gt;10,$AA$1,$Z$1))</f>
        <v>1903</v>
      </c>
      <c r="O13" s="7">
        <v>15</v>
      </c>
      <c r="P13" s="7">
        <f>IF(H13=1,"",INDEX($X$1:$X$3,MATCH(H13,$V$1:$V$3,0)))</f>
        <v>1906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Y32" s="4"/>
      <c r="AA32" s="7"/>
    </row>
    <row r="33" spans="1:2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1901,10</v>
      </c>
      <c r="J40" s="7" t="str">
        <f t="shared" ref="J40:J69" si="13">IF(I40="","",_xlfn.TEXTJOIN(",",TRUE,I40,H40))</f>
        <v>1901,10,1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1901,10,1</v>
      </c>
      <c r="N40" s="7" t="str">
        <f t="shared" si="12"/>
        <v>1901,10</v>
      </c>
      <c r="O40" s="7" t="str">
        <f t="shared" ref="O40:O69" si="16">IF(N40="","",N40&amp;","&amp;H40)</f>
        <v>1901,10,1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1901,10,1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1901,10</v>
      </c>
      <c r="J41" s="7" t="str">
        <f t="shared" si="13"/>
        <v>1901,10,2</v>
      </c>
      <c r="K41" s="7" t="str">
        <f t="shared" si="20"/>
        <v/>
      </c>
      <c r="L41" s="7" t="str">
        <f t="shared" si="14"/>
        <v/>
      </c>
      <c r="M41" s="7" t="str">
        <f t="shared" si="15"/>
        <v>1901,10,2</v>
      </c>
      <c r="N41" s="7" t="str">
        <f t="shared" si="20"/>
        <v>1901,10</v>
      </c>
      <c r="O41" s="7" t="str">
        <f t="shared" si="16"/>
        <v>1901,10,2</v>
      </c>
      <c r="P41" s="7" t="str">
        <f t="shared" si="17"/>
        <v/>
      </c>
      <c r="Q41" s="7" t="str">
        <f t="shared" si="18"/>
        <v/>
      </c>
      <c r="R41" s="7" t="str">
        <f t="shared" si="19"/>
        <v>1901,10,2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1901,10</v>
      </c>
      <c r="J42" s="7" t="str">
        <f t="shared" si="13"/>
        <v>1901,10,3</v>
      </c>
      <c r="K42" s="7" t="str">
        <f t="shared" si="21"/>
        <v/>
      </c>
      <c r="L42" s="7" t="str">
        <f t="shared" si="14"/>
        <v/>
      </c>
      <c r="M42" s="7" t="str">
        <f t="shared" si="15"/>
        <v>1901,10,3</v>
      </c>
      <c r="N42" s="7" t="str">
        <f t="shared" si="21"/>
        <v>1901,10</v>
      </c>
      <c r="O42" s="7" t="str">
        <f t="shared" si="16"/>
        <v>1901,10,3</v>
      </c>
      <c r="P42" s="7" t="str">
        <f t="shared" si="17"/>
        <v/>
      </c>
      <c r="Q42" s="7" t="str">
        <f t="shared" si="18"/>
        <v/>
      </c>
      <c r="R42" s="7" t="str">
        <f t="shared" si="19"/>
        <v>1901,10,3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1901,10</v>
      </c>
      <c r="J43" s="7" t="str">
        <f t="shared" si="13"/>
        <v>1901,10,4</v>
      </c>
      <c r="K43" s="7" t="str">
        <f t="shared" si="22"/>
        <v>1905,5</v>
      </c>
      <c r="L43" s="7" t="str">
        <f t="shared" si="14"/>
        <v>1905,5,4</v>
      </c>
      <c r="M43" s="7" t="str">
        <f t="shared" si="15"/>
        <v>1901,10,4;1905,5,4</v>
      </c>
      <c r="N43" s="7" t="str">
        <f t="shared" si="22"/>
        <v>1901,10</v>
      </c>
      <c r="O43" s="7" t="str">
        <f t="shared" si="16"/>
        <v>1901,10,4</v>
      </c>
      <c r="P43" s="7" t="str">
        <f t="shared" si="17"/>
        <v>1905,5</v>
      </c>
      <c r="Q43" s="7" t="str">
        <f t="shared" si="18"/>
        <v>1905,5,4</v>
      </c>
      <c r="R43" s="7" t="str">
        <f t="shared" si="19"/>
        <v>1901,10,4;1905,5,4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1902,10</v>
      </c>
      <c r="J44" s="7" t="str">
        <f t="shared" si="13"/>
        <v>1902,10,5</v>
      </c>
      <c r="K44" s="7" t="str">
        <f t="shared" si="23"/>
        <v/>
      </c>
      <c r="L44" s="7" t="str">
        <f t="shared" si="14"/>
        <v/>
      </c>
      <c r="M44" s="7" t="str">
        <f t="shared" si="15"/>
        <v>1902,10,5</v>
      </c>
      <c r="N44" s="7" t="str">
        <f t="shared" si="23"/>
        <v>1902,10</v>
      </c>
      <c r="O44" s="7" t="str">
        <f t="shared" si="16"/>
        <v>1902,10,5</v>
      </c>
      <c r="P44" s="7" t="str">
        <f t="shared" si="17"/>
        <v/>
      </c>
      <c r="Q44" s="7" t="str">
        <f t="shared" si="18"/>
        <v/>
      </c>
      <c r="R44" s="7" t="str">
        <f t="shared" si="19"/>
        <v>1902,10,5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1902,10</v>
      </c>
      <c r="J45" s="7" t="str">
        <f t="shared" si="13"/>
        <v>1902,10,6</v>
      </c>
      <c r="K45" s="7" t="str">
        <f t="shared" si="24"/>
        <v/>
      </c>
      <c r="L45" s="7" t="str">
        <f t="shared" si="14"/>
        <v/>
      </c>
      <c r="M45" s="7" t="str">
        <f t="shared" si="15"/>
        <v>1902,10,6</v>
      </c>
      <c r="N45" s="7" t="str">
        <f t="shared" si="24"/>
        <v>1902,10</v>
      </c>
      <c r="O45" s="7" t="str">
        <f t="shared" si="16"/>
        <v>1902,10,6</v>
      </c>
      <c r="P45" s="7" t="str">
        <f t="shared" si="17"/>
        <v/>
      </c>
      <c r="Q45" s="7" t="str">
        <f t="shared" si="18"/>
        <v/>
      </c>
      <c r="R45" s="7" t="str">
        <f t="shared" si="19"/>
        <v>1902,10,6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1902,10</v>
      </c>
      <c r="J46" s="7" t="str">
        <f t="shared" si="13"/>
        <v>1902,10,7</v>
      </c>
      <c r="K46" s="7" t="str">
        <f t="shared" si="25"/>
        <v/>
      </c>
      <c r="L46" s="7" t="str">
        <f t="shared" si="14"/>
        <v/>
      </c>
      <c r="M46" s="7" t="str">
        <f t="shared" si="15"/>
        <v>1902,10,7</v>
      </c>
      <c r="N46" s="7" t="str">
        <f t="shared" si="25"/>
        <v>1902,10</v>
      </c>
      <c r="O46" s="7" t="str">
        <f t="shared" si="16"/>
        <v>1902,10,7</v>
      </c>
      <c r="P46" s="7" t="str">
        <f t="shared" si="17"/>
        <v/>
      </c>
      <c r="Q46" s="7" t="str">
        <f t="shared" si="18"/>
        <v/>
      </c>
      <c r="R46" s="7" t="str">
        <f t="shared" si="19"/>
        <v>1902,10,7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1902,10</v>
      </c>
      <c r="J47" s="7" t="str">
        <f t="shared" si="13"/>
        <v>1902,10,8</v>
      </c>
      <c r="K47" s="7" t="str">
        <f t="shared" si="26"/>
        <v>1905,5</v>
      </c>
      <c r="L47" s="7" t="str">
        <f t="shared" si="14"/>
        <v>1905,5,8</v>
      </c>
      <c r="M47" s="7" t="str">
        <f t="shared" si="15"/>
        <v>1902,10,8;1905,5,8</v>
      </c>
      <c r="N47" s="7" t="str">
        <f t="shared" si="26"/>
        <v>1902,10</v>
      </c>
      <c r="O47" s="7" t="str">
        <f t="shared" si="16"/>
        <v>1902,10,8</v>
      </c>
      <c r="P47" s="7" t="str">
        <f t="shared" si="17"/>
        <v>1905,5</v>
      </c>
      <c r="Q47" s="7" t="str">
        <f t="shared" si="18"/>
        <v>1905,5,8</v>
      </c>
      <c r="R47" s="7" t="str">
        <f t="shared" si="19"/>
        <v>1902,10,8;1905,5,8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1902,15</v>
      </c>
      <c r="J48" s="7" t="str">
        <f t="shared" si="13"/>
        <v>1902,15,9</v>
      </c>
      <c r="K48" s="7" t="str">
        <f t="shared" si="27"/>
        <v/>
      </c>
      <c r="L48" s="7" t="str">
        <f t="shared" si="14"/>
        <v/>
      </c>
      <c r="M48" s="7" t="str">
        <f t="shared" si="15"/>
        <v>1902,15,9</v>
      </c>
      <c r="N48" s="7" t="str">
        <f t="shared" si="27"/>
        <v>1902,15</v>
      </c>
      <c r="O48" s="7" t="str">
        <f t="shared" si="16"/>
        <v>1902,15,9</v>
      </c>
      <c r="P48" s="7" t="str">
        <f t="shared" si="17"/>
        <v/>
      </c>
      <c r="Q48" s="7" t="str">
        <f t="shared" si="18"/>
        <v/>
      </c>
      <c r="R48" s="7" t="str">
        <f t="shared" si="19"/>
        <v>1902,15,9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1902,15</v>
      </c>
      <c r="J49" s="7" t="str">
        <f t="shared" si="13"/>
        <v>1902,15,10</v>
      </c>
      <c r="K49" s="7" t="str">
        <f t="shared" si="28"/>
        <v/>
      </c>
      <c r="L49" s="7" t="str">
        <f t="shared" si="14"/>
        <v/>
      </c>
      <c r="M49" s="7" t="str">
        <f t="shared" si="15"/>
        <v>1902,15,10</v>
      </c>
      <c r="N49" s="7" t="str">
        <f t="shared" si="28"/>
        <v>1902,15</v>
      </c>
      <c r="O49" s="7" t="str">
        <f t="shared" si="16"/>
        <v>1902,15,10</v>
      </c>
      <c r="P49" s="7" t="str">
        <f t="shared" si="17"/>
        <v/>
      </c>
      <c r="Q49" s="7" t="str">
        <f t="shared" si="18"/>
        <v/>
      </c>
      <c r="R49" s="7" t="str">
        <f t="shared" si="19"/>
        <v>1902,15,10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1903,15</v>
      </c>
      <c r="J50" s="7" t="str">
        <f t="shared" si="13"/>
        <v>1903,15,11</v>
      </c>
      <c r="K50" s="7" t="str">
        <f t="shared" si="29"/>
        <v/>
      </c>
      <c r="L50" s="7" t="str">
        <f t="shared" si="14"/>
        <v/>
      </c>
      <c r="M50" s="7" t="str">
        <f t="shared" si="15"/>
        <v>1903,15,11</v>
      </c>
      <c r="N50" s="7" t="str">
        <f t="shared" si="29"/>
        <v>1903,15</v>
      </c>
      <c r="O50" s="7" t="str">
        <f t="shared" si="16"/>
        <v>1903,15,11</v>
      </c>
      <c r="P50" s="7" t="str">
        <f t="shared" si="17"/>
        <v/>
      </c>
      <c r="Q50" s="7" t="str">
        <f t="shared" si="18"/>
        <v/>
      </c>
      <c r="R50" s="7" t="str">
        <f t="shared" si="19"/>
        <v>1903,15,11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1903,15</v>
      </c>
      <c r="J51" s="7" t="str">
        <f t="shared" si="13"/>
        <v>1903,15,12</v>
      </c>
      <c r="K51" s="7" t="str">
        <f t="shared" si="30"/>
        <v>1906,1</v>
      </c>
      <c r="L51" s="7" t="str">
        <f t="shared" si="14"/>
        <v>1906,1,12</v>
      </c>
      <c r="M51" s="7" t="str">
        <f t="shared" si="15"/>
        <v>1903,15,12;1906,1,12</v>
      </c>
      <c r="N51" s="7" t="str">
        <f t="shared" si="30"/>
        <v>1903,15</v>
      </c>
      <c r="O51" s="7" t="str">
        <f t="shared" si="16"/>
        <v>1903,15,12</v>
      </c>
      <c r="P51" s="7" t="str">
        <f t="shared" si="17"/>
        <v>1906,1</v>
      </c>
      <c r="Q51" s="7" t="str">
        <f t="shared" si="18"/>
        <v>1906,1,12</v>
      </c>
      <c r="R51" s="7" t="str">
        <f t="shared" si="19"/>
        <v>1903,15,12;1906,1,12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1901,10,1|1901,10,2|1901,10,3|1901,10,4;1905,5,4|1902,10,5|1902,10,6|1902,10,7|1902,10,8;1905,5,8|1902,15,9|1902,15,10|1903,15,11|1903,15,12;1906,1,12</v>
      </c>
      <c r="N71" s="7"/>
      <c r="O71" s="7"/>
      <c r="P71" s="7"/>
      <c r="Q71" s="7"/>
      <c r="R71" s="15" t="str">
        <f>_xlfn.TEXTJOIN("|",TRUE,R40:R69)</f>
        <v>1901,10,1|1901,10,2|1901,10,3|1901,10,4;1905,5,4|1902,10,5|1902,10,6|1902,10,7|1902,10,8;1905,5,8|1902,15,9|1902,15,10|1903,15,11|1903,15,12;1906,1,12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2001</v>
      </c>
      <c r="Y1" s="7">
        <v>3</v>
      </c>
      <c r="Z1" s="4">
        <v>2002</v>
      </c>
      <c r="AA1" s="7">
        <v>2003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2001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2001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2005</v>
      </c>
      <c r="Y2" s="4">
        <v>5</v>
      </c>
      <c r="AA2" s="7"/>
      <c r="AB2" s="4">
        <v>80</v>
      </c>
      <c r="AC2" s="7">
        <v>50</v>
      </c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2001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2001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2006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2001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2001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2001</v>
      </c>
      <c r="J5" s="7">
        <v>10</v>
      </c>
      <c r="K5" s="7">
        <f>IF(H5=1,"",INDEX($X$1:$X$3,MATCH(H5,$V$1:$V$3,0)))</f>
        <v>2005</v>
      </c>
      <c r="L5" s="7">
        <f t="shared" si="4"/>
        <v>5</v>
      </c>
      <c r="M5" s="7"/>
      <c r="N5" s="7">
        <f>IF(A5&lt;5,$X$1,IF(A5&gt;10,$AA$1,$Z$1))</f>
        <v>2001</v>
      </c>
      <c r="O5" s="7">
        <v>10</v>
      </c>
      <c r="P5" s="7">
        <f>IF(H5=1,"",INDEX($X$1:$X$3,MATCH(H5,$V$1:$V$3,0)))</f>
        <v>2005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2002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2002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2002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2002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2002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2002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2002</v>
      </c>
      <c r="J9" s="7">
        <v>10</v>
      </c>
      <c r="K9" s="7">
        <f>IF(H9=1,"",INDEX($X$1:$X$3,MATCH(H9,$V$1:$V$3,0)))</f>
        <v>2005</v>
      </c>
      <c r="L9" s="7">
        <f t="shared" si="4"/>
        <v>5</v>
      </c>
      <c r="M9" s="7"/>
      <c r="N9" s="7">
        <f>IF(A9&lt;5,$X$1,IF(A9&gt;10,$AA$1,$Z$1))</f>
        <v>2002</v>
      </c>
      <c r="O9" s="7">
        <v>10</v>
      </c>
      <c r="P9" s="7">
        <f>IF(H9=1,"",INDEX($X$1:$X$3,MATCH(H9,$V$1:$V$3,0)))</f>
        <v>2005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2002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2002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2002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2002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2003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2003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2003</v>
      </c>
      <c r="J13" s="7">
        <v>15</v>
      </c>
      <c r="K13" s="7">
        <f>IF(H13=1,"",INDEX($X$1:$X$3,MATCH(H13,$V$1:$V$3,0)))</f>
        <v>2006</v>
      </c>
      <c r="L13" s="7">
        <f t="shared" si="4"/>
        <v>1</v>
      </c>
      <c r="M13" s="7"/>
      <c r="N13" s="7">
        <f>IF(A13&lt;5,$X$1,IF(A13&gt;10,$AA$1,$Z$1))</f>
        <v>2003</v>
      </c>
      <c r="O13" s="7">
        <v>15</v>
      </c>
      <c r="P13" s="7">
        <f>IF(H13=1,"",INDEX($X$1:$X$3,MATCH(H13,$V$1:$V$3,0)))</f>
        <v>2006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Y32" s="4"/>
      <c r="AA32" s="7"/>
    </row>
    <row r="33" spans="1:2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2001,10</v>
      </c>
      <c r="J40" s="7" t="str">
        <f t="shared" ref="J40:J69" si="13">IF(I40="","",_xlfn.TEXTJOIN(",",TRUE,I40,H40))</f>
        <v>2001,10,1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2001,10,1</v>
      </c>
      <c r="N40" s="7" t="str">
        <f t="shared" si="12"/>
        <v>2001,10</v>
      </c>
      <c r="O40" s="7" t="str">
        <f t="shared" ref="O40:O69" si="16">IF(N40="","",N40&amp;","&amp;H40)</f>
        <v>2001,10,1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2001,10,1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2001,10</v>
      </c>
      <c r="J41" s="7" t="str">
        <f t="shared" si="13"/>
        <v>2001,10,2</v>
      </c>
      <c r="K41" s="7" t="str">
        <f t="shared" si="20"/>
        <v/>
      </c>
      <c r="L41" s="7" t="str">
        <f t="shared" si="14"/>
        <v/>
      </c>
      <c r="M41" s="7" t="str">
        <f t="shared" si="15"/>
        <v>2001,10,2</v>
      </c>
      <c r="N41" s="7" t="str">
        <f t="shared" si="20"/>
        <v>2001,10</v>
      </c>
      <c r="O41" s="7" t="str">
        <f t="shared" si="16"/>
        <v>2001,10,2</v>
      </c>
      <c r="P41" s="7" t="str">
        <f t="shared" si="17"/>
        <v/>
      </c>
      <c r="Q41" s="7" t="str">
        <f t="shared" si="18"/>
        <v/>
      </c>
      <c r="R41" s="7" t="str">
        <f t="shared" si="19"/>
        <v>2001,10,2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2001,10</v>
      </c>
      <c r="J42" s="7" t="str">
        <f t="shared" si="13"/>
        <v>2001,10,3</v>
      </c>
      <c r="K42" s="7" t="str">
        <f t="shared" si="21"/>
        <v/>
      </c>
      <c r="L42" s="7" t="str">
        <f t="shared" si="14"/>
        <v/>
      </c>
      <c r="M42" s="7" t="str">
        <f t="shared" si="15"/>
        <v>2001,10,3</v>
      </c>
      <c r="N42" s="7" t="str">
        <f t="shared" si="21"/>
        <v>2001,10</v>
      </c>
      <c r="O42" s="7" t="str">
        <f t="shared" si="16"/>
        <v>2001,10,3</v>
      </c>
      <c r="P42" s="7" t="str">
        <f t="shared" si="17"/>
        <v/>
      </c>
      <c r="Q42" s="7" t="str">
        <f t="shared" si="18"/>
        <v/>
      </c>
      <c r="R42" s="7" t="str">
        <f t="shared" si="19"/>
        <v>2001,10,3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2001,10</v>
      </c>
      <c r="J43" s="7" t="str">
        <f t="shared" si="13"/>
        <v>2001,10,4</v>
      </c>
      <c r="K43" s="7" t="str">
        <f t="shared" si="22"/>
        <v>2005,5</v>
      </c>
      <c r="L43" s="7" t="str">
        <f t="shared" si="14"/>
        <v>2005,5,4</v>
      </c>
      <c r="M43" s="7" t="str">
        <f t="shared" si="15"/>
        <v>2001,10,4;2005,5,4</v>
      </c>
      <c r="N43" s="7" t="str">
        <f t="shared" si="22"/>
        <v>2001,10</v>
      </c>
      <c r="O43" s="7" t="str">
        <f t="shared" si="16"/>
        <v>2001,10,4</v>
      </c>
      <c r="P43" s="7" t="str">
        <f t="shared" si="17"/>
        <v>2005,5</v>
      </c>
      <c r="Q43" s="7" t="str">
        <f t="shared" si="18"/>
        <v>2005,5,4</v>
      </c>
      <c r="R43" s="7" t="str">
        <f t="shared" si="19"/>
        <v>2001,10,4;2005,5,4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2002,10</v>
      </c>
      <c r="J44" s="7" t="str">
        <f t="shared" si="13"/>
        <v>2002,10,5</v>
      </c>
      <c r="K44" s="7" t="str">
        <f t="shared" si="23"/>
        <v/>
      </c>
      <c r="L44" s="7" t="str">
        <f t="shared" si="14"/>
        <v/>
      </c>
      <c r="M44" s="7" t="str">
        <f t="shared" si="15"/>
        <v>2002,10,5</v>
      </c>
      <c r="N44" s="7" t="str">
        <f t="shared" si="23"/>
        <v>2002,10</v>
      </c>
      <c r="O44" s="7" t="str">
        <f t="shared" si="16"/>
        <v>2002,10,5</v>
      </c>
      <c r="P44" s="7" t="str">
        <f t="shared" si="17"/>
        <v/>
      </c>
      <c r="Q44" s="7" t="str">
        <f t="shared" si="18"/>
        <v/>
      </c>
      <c r="R44" s="7" t="str">
        <f t="shared" si="19"/>
        <v>2002,10,5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2002,10</v>
      </c>
      <c r="J45" s="7" t="str">
        <f t="shared" si="13"/>
        <v>2002,10,6</v>
      </c>
      <c r="K45" s="7" t="str">
        <f t="shared" si="24"/>
        <v/>
      </c>
      <c r="L45" s="7" t="str">
        <f t="shared" si="14"/>
        <v/>
      </c>
      <c r="M45" s="7" t="str">
        <f t="shared" si="15"/>
        <v>2002,10,6</v>
      </c>
      <c r="N45" s="7" t="str">
        <f t="shared" si="24"/>
        <v>2002,10</v>
      </c>
      <c r="O45" s="7" t="str">
        <f t="shared" si="16"/>
        <v>2002,10,6</v>
      </c>
      <c r="P45" s="7" t="str">
        <f t="shared" si="17"/>
        <v/>
      </c>
      <c r="Q45" s="7" t="str">
        <f t="shared" si="18"/>
        <v/>
      </c>
      <c r="R45" s="7" t="str">
        <f t="shared" si="19"/>
        <v>2002,10,6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2002,10</v>
      </c>
      <c r="J46" s="7" t="str">
        <f t="shared" si="13"/>
        <v>2002,10,7</v>
      </c>
      <c r="K46" s="7" t="str">
        <f t="shared" si="25"/>
        <v/>
      </c>
      <c r="L46" s="7" t="str">
        <f t="shared" si="14"/>
        <v/>
      </c>
      <c r="M46" s="7" t="str">
        <f t="shared" si="15"/>
        <v>2002,10,7</v>
      </c>
      <c r="N46" s="7" t="str">
        <f t="shared" si="25"/>
        <v>2002,10</v>
      </c>
      <c r="O46" s="7" t="str">
        <f t="shared" si="16"/>
        <v>2002,10,7</v>
      </c>
      <c r="P46" s="7" t="str">
        <f t="shared" si="17"/>
        <v/>
      </c>
      <c r="Q46" s="7" t="str">
        <f t="shared" si="18"/>
        <v/>
      </c>
      <c r="R46" s="7" t="str">
        <f t="shared" si="19"/>
        <v>2002,10,7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2002,10</v>
      </c>
      <c r="J47" s="7" t="str">
        <f t="shared" si="13"/>
        <v>2002,10,8</v>
      </c>
      <c r="K47" s="7" t="str">
        <f t="shared" si="26"/>
        <v>2005,5</v>
      </c>
      <c r="L47" s="7" t="str">
        <f t="shared" si="14"/>
        <v>2005,5,8</v>
      </c>
      <c r="M47" s="7" t="str">
        <f t="shared" si="15"/>
        <v>2002,10,8;2005,5,8</v>
      </c>
      <c r="N47" s="7" t="str">
        <f t="shared" si="26"/>
        <v>2002,10</v>
      </c>
      <c r="O47" s="7" t="str">
        <f t="shared" si="16"/>
        <v>2002,10,8</v>
      </c>
      <c r="P47" s="7" t="str">
        <f t="shared" si="17"/>
        <v>2005,5</v>
      </c>
      <c r="Q47" s="7" t="str">
        <f t="shared" si="18"/>
        <v>2005,5,8</v>
      </c>
      <c r="R47" s="7" t="str">
        <f t="shared" si="19"/>
        <v>2002,10,8;2005,5,8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2002,15</v>
      </c>
      <c r="J48" s="7" t="str">
        <f t="shared" si="13"/>
        <v>2002,15,9</v>
      </c>
      <c r="K48" s="7" t="str">
        <f t="shared" si="27"/>
        <v/>
      </c>
      <c r="L48" s="7" t="str">
        <f t="shared" si="14"/>
        <v/>
      </c>
      <c r="M48" s="7" t="str">
        <f t="shared" si="15"/>
        <v>2002,15,9</v>
      </c>
      <c r="N48" s="7" t="str">
        <f t="shared" si="27"/>
        <v>2002,15</v>
      </c>
      <c r="O48" s="7" t="str">
        <f t="shared" si="16"/>
        <v>2002,15,9</v>
      </c>
      <c r="P48" s="7" t="str">
        <f t="shared" si="17"/>
        <v/>
      </c>
      <c r="Q48" s="7" t="str">
        <f t="shared" si="18"/>
        <v/>
      </c>
      <c r="R48" s="7" t="str">
        <f t="shared" si="19"/>
        <v>2002,15,9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2002,15</v>
      </c>
      <c r="J49" s="7" t="str">
        <f t="shared" si="13"/>
        <v>2002,15,10</v>
      </c>
      <c r="K49" s="7" t="str">
        <f t="shared" si="28"/>
        <v/>
      </c>
      <c r="L49" s="7" t="str">
        <f t="shared" si="14"/>
        <v/>
      </c>
      <c r="M49" s="7" t="str">
        <f t="shared" si="15"/>
        <v>2002,15,10</v>
      </c>
      <c r="N49" s="7" t="str">
        <f t="shared" si="28"/>
        <v>2002,15</v>
      </c>
      <c r="O49" s="7" t="str">
        <f t="shared" si="16"/>
        <v>2002,15,10</v>
      </c>
      <c r="P49" s="7" t="str">
        <f t="shared" si="17"/>
        <v/>
      </c>
      <c r="Q49" s="7" t="str">
        <f t="shared" si="18"/>
        <v/>
      </c>
      <c r="R49" s="7" t="str">
        <f t="shared" si="19"/>
        <v>2002,15,10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2003,15</v>
      </c>
      <c r="J50" s="7" t="str">
        <f t="shared" si="13"/>
        <v>2003,15,11</v>
      </c>
      <c r="K50" s="7" t="str">
        <f t="shared" si="29"/>
        <v/>
      </c>
      <c r="L50" s="7" t="str">
        <f t="shared" si="14"/>
        <v/>
      </c>
      <c r="M50" s="7" t="str">
        <f t="shared" si="15"/>
        <v>2003,15,11</v>
      </c>
      <c r="N50" s="7" t="str">
        <f t="shared" si="29"/>
        <v>2003,15</v>
      </c>
      <c r="O50" s="7" t="str">
        <f t="shared" si="16"/>
        <v>2003,15,11</v>
      </c>
      <c r="P50" s="7" t="str">
        <f t="shared" si="17"/>
        <v/>
      </c>
      <c r="Q50" s="7" t="str">
        <f t="shared" si="18"/>
        <v/>
      </c>
      <c r="R50" s="7" t="str">
        <f t="shared" si="19"/>
        <v>2003,15,11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2003,15</v>
      </c>
      <c r="J51" s="7" t="str">
        <f t="shared" si="13"/>
        <v>2003,15,12</v>
      </c>
      <c r="K51" s="7" t="str">
        <f t="shared" si="30"/>
        <v>2006,1</v>
      </c>
      <c r="L51" s="7" t="str">
        <f t="shared" si="14"/>
        <v>2006,1,12</v>
      </c>
      <c r="M51" s="7" t="str">
        <f t="shared" si="15"/>
        <v>2003,15,12;2006,1,12</v>
      </c>
      <c r="N51" s="7" t="str">
        <f t="shared" si="30"/>
        <v>2003,15</v>
      </c>
      <c r="O51" s="7" t="str">
        <f t="shared" si="16"/>
        <v>2003,15,12</v>
      </c>
      <c r="P51" s="7" t="str">
        <f t="shared" si="17"/>
        <v>2006,1</v>
      </c>
      <c r="Q51" s="7" t="str">
        <f t="shared" si="18"/>
        <v>2006,1,12</v>
      </c>
      <c r="R51" s="7" t="str">
        <f t="shared" si="19"/>
        <v>2003,15,12;2006,1,12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2001,10,1|2001,10,2|2001,10,3|2001,10,4;2005,5,4|2002,10,5|2002,10,6|2002,10,7|2002,10,8;2005,5,8|2002,15,9|2002,15,10|2003,15,11|2003,15,12;2006,1,12</v>
      </c>
      <c r="N71" s="7"/>
      <c r="O71" s="7"/>
      <c r="P71" s="7"/>
      <c r="Q71" s="7"/>
      <c r="R71" s="15" t="str">
        <f>_xlfn.TEXTJOIN("|",TRUE,R40:R69)</f>
        <v>2001,10,1|2001,10,2|2001,10,3|2001,10,4;2005,5,4|2002,10,5|2002,10,6|2002,10,7|2002,10,8;2005,5,8|2002,15,9|2002,15,10|2003,15,11|2003,15,12;2006,1,12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topLeftCell="A52" workbookViewId="0">
      <selection activeCell="O79" sqref="O79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101</v>
      </c>
      <c r="Y1" s="7">
        <v>3</v>
      </c>
      <c r="AA1" s="7"/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101</v>
      </c>
      <c r="J5" s="7">
        <v>10</v>
      </c>
      <c r="K5" s="7">
        <f>IF(H5=1,"",INDEX($X$1:$X$3,MATCH(H5,$V$1:$V$3,0)))</f>
        <v>105</v>
      </c>
      <c r="L5" s="7">
        <f t="shared" si="4"/>
        <v>5</v>
      </c>
      <c r="M5" s="7"/>
      <c r="N5" s="7">
        <f>IF(A5&lt;5,$X$1,IF(A5&gt;10,$AA$1,$Z$1))</f>
        <v>101</v>
      </c>
      <c r="O5" s="7">
        <v>10</v>
      </c>
      <c r="P5" s="7">
        <f>IF(H5=1,"",INDEX($X$1:$X$3,MATCH(H5,$V$1:$V$3,0)))</f>
        <v>105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0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0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0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0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0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0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0</v>
      </c>
      <c r="J9" s="7">
        <v>10</v>
      </c>
      <c r="K9" s="7">
        <f>IF(H9=1,"",INDEX($X$1:$X$3,MATCH(H9,$V$1:$V$3,0)))</f>
        <v>105</v>
      </c>
      <c r="L9" s="7">
        <f t="shared" si="4"/>
        <v>5</v>
      </c>
      <c r="M9" s="7"/>
      <c r="N9" s="7">
        <f>IF(A9&lt;5,$X$1,IF(A9&gt;10,$AA$1,$Z$1))</f>
        <v>0</v>
      </c>
      <c r="O9" s="7">
        <v>10</v>
      </c>
      <c r="P9" s="7">
        <f>IF(H9=1,"",INDEX($X$1:$X$3,MATCH(H9,$V$1:$V$3,0)))</f>
        <v>105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0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0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0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0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0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0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0</v>
      </c>
      <c r="J13" s="7">
        <v>15</v>
      </c>
      <c r="K13" s="7">
        <f>IF(H13=1,"",INDEX($X$1:$X$3,MATCH(H13,$V$1:$V$3,0)))</f>
        <v>106</v>
      </c>
      <c r="L13" s="7">
        <f t="shared" si="4"/>
        <v>1</v>
      </c>
      <c r="M13" s="7"/>
      <c r="N13" s="7">
        <f>IF(A13&lt;5,$X$1,IF(A13&gt;10,$AA$1,$Z$1))</f>
        <v>0</v>
      </c>
      <c r="O13" s="7">
        <v>15</v>
      </c>
      <c r="P13" s="7">
        <f>IF(H13=1,"",INDEX($X$1:$X$3,MATCH(H13,$V$1:$V$3,0)))</f>
        <v>106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Y32" s="4"/>
      <c r="AA32" s="7"/>
    </row>
    <row r="33" spans="1:2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101,10</v>
      </c>
      <c r="J40" s="7" t="str">
        <f t="shared" ref="J40:J69" si="13">IF(I40="","",_xlfn.TEXTJOIN(",",TRUE,I40,H40))</f>
        <v>101,10,1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101,10,1</v>
      </c>
      <c r="N40" s="7" t="str">
        <f t="shared" si="12"/>
        <v>101,10</v>
      </c>
      <c r="O40" s="7" t="str">
        <f t="shared" ref="O40:O69" si="16">IF(N40="","",N40&amp;","&amp;H40)</f>
        <v>101,10,1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101,10</v>
      </c>
      <c r="J41" s="7" t="str">
        <f t="shared" si="13"/>
        <v>101,10,2</v>
      </c>
      <c r="K41" s="7" t="str">
        <f t="shared" si="20"/>
        <v/>
      </c>
      <c r="L41" s="7" t="str">
        <f t="shared" si="14"/>
        <v/>
      </c>
      <c r="M41" s="7" t="str">
        <f t="shared" si="15"/>
        <v>101,10,2</v>
      </c>
      <c r="N41" s="7" t="str">
        <f t="shared" si="20"/>
        <v>101,10</v>
      </c>
      <c r="O41" s="7" t="str">
        <f t="shared" si="16"/>
        <v>101,10,2</v>
      </c>
      <c r="P41" s="7" t="str">
        <f t="shared" si="17"/>
        <v/>
      </c>
      <c r="Q41" s="7" t="str">
        <f t="shared" si="18"/>
        <v/>
      </c>
      <c r="R41" s="7" t="str">
        <f t="shared" si="19"/>
        <v>101,10,2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101,10</v>
      </c>
      <c r="J42" s="7" t="str">
        <f t="shared" si="13"/>
        <v>101,10,3</v>
      </c>
      <c r="K42" s="7" t="str">
        <f t="shared" si="21"/>
        <v/>
      </c>
      <c r="L42" s="7" t="str">
        <f t="shared" si="14"/>
        <v/>
      </c>
      <c r="M42" s="7" t="str">
        <f t="shared" si="15"/>
        <v>101,10,3</v>
      </c>
      <c r="N42" s="7" t="str">
        <f t="shared" si="21"/>
        <v>101,10</v>
      </c>
      <c r="O42" s="7" t="str">
        <f t="shared" si="16"/>
        <v>101,10,3</v>
      </c>
      <c r="P42" s="7" t="str">
        <f t="shared" si="17"/>
        <v/>
      </c>
      <c r="Q42" s="7" t="str">
        <f t="shared" si="18"/>
        <v/>
      </c>
      <c r="R42" s="7" t="str">
        <f t="shared" si="19"/>
        <v>101,10,3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101,10</v>
      </c>
      <c r="J43" s="7" t="str">
        <f t="shared" si="13"/>
        <v>101,10,4</v>
      </c>
      <c r="K43" s="7" t="str">
        <f t="shared" si="22"/>
        <v>105,5</v>
      </c>
      <c r="L43" s="7" t="str">
        <f t="shared" si="14"/>
        <v>105,5,4</v>
      </c>
      <c r="M43" s="7" t="str">
        <f t="shared" si="15"/>
        <v>101,10,4;105,5,4</v>
      </c>
      <c r="N43" s="7" t="str">
        <f t="shared" si="22"/>
        <v>101,10</v>
      </c>
      <c r="O43" s="7" t="str">
        <f t="shared" si="16"/>
        <v>101,10,4</v>
      </c>
      <c r="P43" s="7" t="str">
        <f t="shared" si="17"/>
        <v>105,5</v>
      </c>
      <c r="Q43" s="7" t="str">
        <f t="shared" si="18"/>
        <v>105,5,4</v>
      </c>
      <c r="R43" s="7" t="str">
        <f t="shared" si="19"/>
        <v>101,10,4;105,5,4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0,10</v>
      </c>
      <c r="J44" s="7" t="str">
        <f t="shared" si="13"/>
        <v>0,10,5</v>
      </c>
      <c r="K44" s="7" t="str">
        <f t="shared" si="23"/>
        <v/>
      </c>
      <c r="L44" s="7" t="str">
        <f t="shared" si="14"/>
        <v/>
      </c>
      <c r="M44" s="7" t="str">
        <f t="shared" si="15"/>
        <v>0,10,5</v>
      </c>
      <c r="N44" s="7" t="str">
        <f t="shared" si="23"/>
        <v>0,10</v>
      </c>
      <c r="O44" s="7" t="str">
        <f t="shared" si="16"/>
        <v>0,10,5</v>
      </c>
      <c r="P44" s="7" t="str">
        <f t="shared" si="17"/>
        <v/>
      </c>
      <c r="Q44" s="7" t="str">
        <f t="shared" si="18"/>
        <v/>
      </c>
      <c r="R44" s="7" t="str">
        <f t="shared" si="19"/>
        <v>0,10,5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0,10</v>
      </c>
      <c r="J45" s="7" t="str">
        <f t="shared" si="13"/>
        <v>0,10,6</v>
      </c>
      <c r="K45" s="7" t="str">
        <f t="shared" si="24"/>
        <v/>
      </c>
      <c r="L45" s="7" t="str">
        <f t="shared" si="14"/>
        <v/>
      </c>
      <c r="M45" s="7" t="str">
        <f t="shared" si="15"/>
        <v>0,10,6</v>
      </c>
      <c r="N45" s="7" t="str">
        <f t="shared" si="24"/>
        <v>0,10</v>
      </c>
      <c r="O45" s="7" t="str">
        <f t="shared" si="16"/>
        <v>0,10,6</v>
      </c>
      <c r="P45" s="7" t="str">
        <f t="shared" si="17"/>
        <v/>
      </c>
      <c r="Q45" s="7" t="str">
        <f t="shared" si="18"/>
        <v/>
      </c>
      <c r="R45" s="7" t="str">
        <f t="shared" si="19"/>
        <v>0,10,6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0,10</v>
      </c>
      <c r="J46" s="7" t="str">
        <f t="shared" si="13"/>
        <v>0,10,7</v>
      </c>
      <c r="K46" s="7" t="str">
        <f t="shared" si="25"/>
        <v/>
      </c>
      <c r="L46" s="7" t="str">
        <f t="shared" si="14"/>
        <v/>
      </c>
      <c r="M46" s="7" t="str">
        <f t="shared" si="15"/>
        <v>0,10,7</v>
      </c>
      <c r="N46" s="7" t="str">
        <f t="shared" si="25"/>
        <v>0,10</v>
      </c>
      <c r="O46" s="7" t="str">
        <f t="shared" si="16"/>
        <v>0,10,7</v>
      </c>
      <c r="P46" s="7" t="str">
        <f t="shared" si="17"/>
        <v/>
      </c>
      <c r="Q46" s="7" t="str">
        <f t="shared" si="18"/>
        <v/>
      </c>
      <c r="R46" s="7" t="str">
        <f t="shared" si="19"/>
        <v>0,10,7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0,10</v>
      </c>
      <c r="J47" s="7" t="str">
        <f t="shared" si="13"/>
        <v>0,10,8</v>
      </c>
      <c r="K47" s="7" t="str">
        <f t="shared" si="26"/>
        <v>105,5</v>
      </c>
      <c r="L47" s="7" t="str">
        <f t="shared" si="14"/>
        <v>105,5,8</v>
      </c>
      <c r="M47" s="7" t="str">
        <f t="shared" si="15"/>
        <v>0,10,8;105,5,8</v>
      </c>
      <c r="N47" s="7" t="str">
        <f t="shared" si="26"/>
        <v>0,10</v>
      </c>
      <c r="O47" s="7" t="str">
        <f t="shared" si="16"/>
        <v>0,10,8</v>
      </c>
      <c r="P47" s="7" t="str">
        <f t="shared" si="17"/>
        <v>105,5</v>
      </c>
      <c r="Q47" s="7" t="str">
        <f t="shared" si="18"/>
        <v>105,5,8</v>
      </c>
      <c r="R47" s="7" t="str">
        <f t="shared" si="19"/>
        <v>0,10,8;105,5,8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0,15</v>
      </c>
      <c r="J48" s="7" t="str">
        <f t="shared" si="13"/>
        <v>0,15,9</v>
      </c>
      <c r="K48" s="7" t="str">
        <f t="shared" si="27"/>
        <v/>
      </c>
      <c r="L48" s="7" t="str">
        <f t="shared" si="14"/>
        <v/>
      </c>
      <c r="M48" s="7" t="str">
        <f t="shared" si="15"/>
        <v>0,15,9</v>
      </c>
      <c r="N48" s="7" t="str">
        <f t="shared" si="27"/>
        <v>0,15</v>
      </c>
      <c r="O48" s="7" t="str">
        <f t="shared" si="16"/>
        <v>0,15,9</v>
      </c>
      <c r="P48" s="7" t="str">
        <f t="shared" si="17"/>
        <v/>
      </c>
      <c r="Q48" s="7" t="str">
        <f t="shared" si="18"/>
        <v/>
      </c>
      <c r="R48" s="7" t="str">
        <f t="shared" si="19"/>
        <v>0,15,9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0,15</v>
      </c>
      <c r="J49" s="7" t="str">
        <f t="shared" si="13"/>
        <v>0,15,10</v>
      </c>
      <c r="K49" s="7" t="str">
        <f t="shared" si="28"/>
        <v/>
      </c>
      <c r="L49" s="7" t="str">
        <f t="shared" si="14"/>
        <v/>
      </c>
      <c r="M49" s="7" t="str">
        <f t="shared" si="15"/>
        <v>0,15,10</v>
      </c>
      <c r="N49" s="7" t="str">
        <f t="shared" si="28"/>
        <v>0,15</v>
      </c>
      <c r="O49" s="7" t="str">
        <f t="shared" si="16"/>
        <v>0,15,10</v>
      </c>
      <c r="P49" s="7" t="str">
        <f t="shared" si="17"/>
        <v/>
      </c>
      <c r="Q49" s="7" t="str">
        <f t="shared" si="18"/>
        <v/>
      </c>
      <c r="R49" s="7" t="str">
        <f t="shared" si="19"/>
        <v>0,15,10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0,15</v>
      </c>
      <c r="J50" s="7" t="str">
        <f t="shared" si="13"/>
        <v>0,15,11</v>
      </c>
      <c r="K50" s="7" t="str">
        <f t="shared" si="29"/>
        <v/>
      </c>
      <c r="L50" s="7" t="str">
        <f t="shared" si="14"/>
        <v/>
      </c>
      <c r="M50" s="7" t="str">
        <f t="shared" si="15"/>
        <v>0,15,11</v>
      </c>
      <c r="N50" s="7" t="str">
        <f t="shared" si="29"/>
        <v>0,15</v>
      </c>
      <c r="O50" s="7" t="str">
        <f t="shared" si="16"/>
        <v>0,15,11</v>
      </c>
      <c r="P50" s="7" t="str">
        <f t="shared" si="17"/>
        <v/>
      </c>
      <c r="Q50" s="7" t="str">
        <f t="shared" si="18"/>
        <v/>
      </c>
      <c r="R50" s="7" t="str">
        <f t="shared" si="19"/>
        <v>0,15,11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0,15</v>
      </c>
      <c r="J51" s="7" t="str">
        <f t="shared" si="13"/>
        <v>0,15,12</v>
      </c>
      <c r="K51" s="7" t="str">
        <f t="shared" si="30"/>
        <v>106,1</v>
      </c>
      <c r="L51" s="7" t="str">
        <f t="shared" si="14"/>
        <v>106,1,12</v>
      </c>
      <c r="M51" s="7" t="str">
        <f t="shared" si="15"/>
        <v>0,15,12;106,1,12</v>
      </c>
      <c r="N51" s="7" t="str">
        <f t="shared" si="30"/>
        <v>0,15</v>
      </c>
      <c r="O51" s="7" t="str">
        <f t="shared" si="16"/>
        <v>0,15,12</v>
      </c>
      <c r="P51" s="7" t="str">
        <f t="shared" si="17"/>
        <v>106,1</v>
      </c>
      <c r="Q51" s="7" t="str">
        <f t="shared" si="18"/>
        <v>106,1,12</v>
      </c>
      <c r="R51" s="7" t="str">
        <f t="shared" si="19"/>
        <v>0,15,12;106,1,12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101,10,1|101,10,2|101,10,3|101,10,4;105,5,4|0,10,5|0,10,6|0,10,7|0,10,8;105,5,8|0,15,9|0,15,10|0,15,11|0,15,12;106,1,12</v>
      </c>
      <c r="N71" s="7"/>
      <c r="O71" s="7"/>
      <c r="P71" s="7"/>
      <c r="Q71" s="7"/>
      <c r="R71" s="15" t="str">
        <f>_xlfn.TEXTJOIN("|",TRUE,R40:R69)</f>
        <v>101,10,1|101,10,2|101,10,3|101,10,4;105,5,4|0,10,5|0,10,6|0,10,7|0,10,8;105,5,8|0,15,9|0,15,10|0,15,11|0,15,12;106,1,12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55"/>
  <sheetViews>
    <sheetView tabSelected="1" topLeftCell="Q91" workbookViewId="0">
      <selection activeCell="Z111" sqref="Z111"/>
    </sheetView>
  </sheetViews>
  <sheetFormatPr defaultColWidth="8.88888888888889" defaultRowHeight="13.8"/>
  <cols>
    <col min="3" max="7" width="8.88888888888889" customWidth="1"/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13.8888888888889" customWidth="1"/>
    <col min="19" max="21" width="12.8888888888889"/>
    <col min="24" max="24" width="12.8888888888889"/>
    <col min="30" max="30" width="12.8888888888889"/>
    <col min="35" max="35" width="11.7777777777778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201</v>
      </c>
      <c r="Y1" s="7">
        <v>3</v>
      </c>
      <c r="Z1" s="4">
        <v>202</v>
      </c>
      <c r="AA1" s="7">
        <v>203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13" si="0">ROUNDDOWN((B2-M2)/$X$6,0)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1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201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201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205</v>
      </c>
      <c r="Y2" s="4">
        <v>5</v>
      </c>
      <c r="AA2" s="7"/>
      <c r="AB2" s="4">
        <v>100</v>
      </c>
      <c r="AC2" s="7">
        <v>50</v>
      </c>
    </row>
    <row r="3" spans="1:27">
      <c r="A3" s="7">
        <v>2</v>
      </c>
      <c r="B3" s="7">
        <f>B2+$AB$2+R3</f>
        <v>240</v>
      </c>
      <c r="C3" s="7">
        <f t="shared" si="0"/>
        <v>6</v>
      </c>
      <c r="D3" s="7">
        <v>0</v>
      </c>
      <c r="E3" s="7">
        <f t="shared" si="1"/>
        <v>1</v>
      </c>
      <c r="F3" s="7">
        <f t="shared" si="2"/>
        <v>5</v>
      </c>
      <c r="G3" s="7">
        <f t="shared" si="3"/>
        <v>2.5</v>
      </c>
      <c r="H3" s="7">
        <v>1</v>
      </c>
      <c r="I3" s="7">
        <f>IF(A3&lt;5,$X$1,IF(A3&gt;10,$AA$1,$Z$1))</f>
        <v>201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N3" s="7">
        <f>IF(A3&lt;5,$X$1,IF(A3&gt;10,$AA$1,$Z$1))</f>
        <v>201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>
        <v>40</v>
      </c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206</v>
      </c>
      <c r="Y3" s="7">
        <v>10</v>
      </c>
      <c r="AA3" s="7"/>
    </row>
    <row r="4" spans="1:27">
      <c r="A4" s="7">
        <v>3</v>
      </c>
      <c r="B4" s="7">
        <f t="shared" ref="B4:B13" si="8">B3+$AB$2+R4</f>
        <v>380</v>
      </c>
      <c r="C4" s="7">
        <f>ROUNDDOWN((B4-M5)/$X$6,0)</f>
        <v>9</v>
      </c>
      <c r="D4" s="7">
        <v>1</v>
      </c>
      <c r="E4" s="7">
        <f t="shared" si="1"/>
        <v>1.5</v>
      </c>
      <c r="F4" s="7">
        <f t="shared" si="2"/>
        <v>7</v>
      </c>
      <c r="G4" s="7">
        <f t="shared" si="3"/>
        <v>5.25</v>
      </c>
      <c r="H4" s="7">
        <v>1</v>
      </c>
      <c r="I4" s="7">
        <f>IF(A4&lt;5,$X$1,IF(A4&gt;10,$AA$1,$Z$1))</f>
        <v>201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N4" s="7">
        <f>IF(A4&lt;5,$X$1,IF(A4&gt;10,$AA$1,$Z$1))</f>
        <v>201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>
        <v>40</v>
      </c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f t="shared" si="8"/>
        <v>520</v>
      </c>
      <c r="C5" s="7">
        <f>ROUNDDOWN((B5-M6)/$X$6,0)</f>
        <v>12</v>
      </c>
      <c r="D5" s="7">
        <v>1</v>
      </c>
      <c r="E5" s="7">
        <f t="shared" si="1"/>
        <v>1.5</v>
      </c>
      <c r="F5" s="7">
        <f t="shared" si="2"/>
        <v>10</v>
      </c>
      <c r="G5" s="7">
        <f t="shared" si="3"/>
        <v>7.5</v>
      </c>
      <c r="H5" s="7">
        <v>2</v>
      </c>
      <c r="I5" s="7">
        <f>IF(A5&lt;5,$X$1,IF(A5&gt;10,$AA$1,$Z$1))</f>
        <v>201</v>
      </c>
      <c r="J5" s="7">
        <v>10</v>
      </c>
      <c r="K5" s="7">
        <f>IF(H5=1,"",INDEX($X$1:$X$3,MATCH(H5,$V$1:$V$3,0)))</f>
        <v>205</v>
      </c>
      <c r="L5" s="7">
        <f t="shared" si="4"/>
        <v>5</v>
      </c>
      <c r="M5">
        <v>20</v>
      </c>
      <c r="N5" s="7">
        <f>IF(A5&lt;5,$X$1,IF(A5&gt;10,$AA$1,$Z$1))</f>
        <v>201</v>
      </c>
      <c r="O5" s="7">
        <v>10</v>
      </c>
      <c r="P5" s="7">
        <f>IF(H5=1,"",INDEX($X$1:$X$3,MATCH(H5,$V$1:$V$3,0)))</f>
        <v>205</v>
      </c>
      <c r="Q5" s="7">
        <f t="shared" si="5"/>
        <v>5</v>
      </c>
      <c r="R5" s="7">
        <v>40</v>
      </c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 t="shared" si="8"/>
        <v>660</v>
      </c>
      <c r="C6" s="7">
        <f>ROUNDDOWN((B6-M7)/$X$6,0)</f>
        <v>15</v>
      </c>
      <c r="D6" s="7">
        <v>2</v>
      </c>
      <c r="E6" s="7">
        <f t="shared" si="1"/>
        <v>2.25</v>
      </c>
      <c r="F6" s="7">
        <f t="shared" si="2"/>
        <v>12</v>
      </c>
      <c r="G6" s="7">
        <f t="shared" si="3"/>
        <v>13.5</v>
      </c>
      <c r="H6" s="7">
        <v>1</v>
      </c>
      <c r="I6" s="7">
        <f>IF(A6&lt;5,$X$1,IF(A6&gt;10,$AA$1,$Z$1))</f>
        <v>202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>
        <v>40</v>
      </c>
      <c r="N6" s="7">
        <f>IF(A6&lt;5,$X$1,IF(A6&gt;10,$AA$1,$Z$1))</f>
        <v>202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>
        <v>40</v>
      </c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9">ROUND(85*Y6/100,0)</f>
        <v>68</v>
      </c>
      <c r="AA6" s="7">
        <f t="shared" ref="AA6:AA10" si="10">ROUND($W$13*Y6/100,0)</f>
        <v>48</v>
      </c>
    </row>
    <row r="7" spans="1:27">
      <c r="A7" s="7">
        <v>6</v>
      </c>
      <c r="B7" s="7">
        <f t="shared" si="8"/>
        <v>820</v>
      </c>
      <c r="C7" s="7">
        <f>ROUNDDOWN((B7-M8)/$X$6,0)</f>
        <v>18</v>
      </c>
      <c r="D7" s="7">
        <v>2</v>
      </c>
      <c r="E7" s="7">
        <f t="shared" si="1"/>
        <v>2.25</v>
      </c>
      <c r="F7" s="7">
        <f t="shared" si="2"/>
        <v>14</v>
      </c>
      <c r="G7" s="7">
        <f t="shared" si="3"/>
        <v>15.75</v>
      </c>
      <c r="H7" s="7">
        <v>1</v>
      </c>
      <c r="I7" s="7">
        <f>IF(A7&lt;5,$X$1,IF(A7&gt;10,$AA$1,$Z$1))</f>
        <v>202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>
        <v>60</v>
      </c>
      <c r="N7" s="7">
        <f>IF(A7&lt;5,$X$1,IF(A7&gt;10,$AA$1,$Z$1))</f>
        <v>202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>
        <v>60</v>
      </c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9"/>
        <v>3</v>
      </c>
      <c r="AA7" s="7">
        <f t="shared" si="10"/>
        <v>2</v>
      </c>
    </row>
    <row r="8" spans="1:27">
      <c r="A8" s="7">
        <v>7</v>
      </c>
      <c r="B8" s="7">
        <f t="shared" si="8"/>
        <v>980</v>
      </c>
      <c r="C8" s="7">
        <f>ROUNDDOWN((B8-M8)/$X$6,0)</f>
        <v>22</v>
      </c>
      <c r="D8" s="7">
        <v>3</v>
      </c>
      <c r="E8" s="7">
        <f t="shared" si="1"/>
        <v>3</v>
      </c>
      <c r="F8" s="7">
        <f t="shared" si="2"/>
        <v>18</v>
      </c>
      <c r="G8" s="7">
        <f t="shared" si="3"/>
        <v>27</v>
      </c>
      <c r="H8" s="7">
        <v>1</v>
      </c>
      <c r="I8" s="7">
        <f>IF(A8&lt;5,$X$1,IF(A8&gt;10,$AA$1,$Z$1))</f>
        <v>202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>
        <v>80</v>
      </c>
      <c r="N8" s="7">
        <f>IF(A8&lt;5,$X$1,IF(A8&gt;10,$AA$1,$Z$1))</f>
        <v>202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>
        <v>60</v>
      </c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9"/>
        <v>3</v>
      </c>
      <c r="AA8" s="7">
        <f t="shared" si="10"/>
        <v>2</v>
      </c>
    </row>
    <row r="9" spans="1:27">
      <c r="A9" s="7">
        <v>8</v>
      </c>
      <c r="B9" s="7">
        <f t="shared" si="8"/>
        <v>1140</v>
      </c>
      <c r="C9" s="7">
        <f t="shared" si="0"/>
        <v>25</v>
      </c>
      <c r="D9" s="7">
        <v>3</v>
      </c>
      <c r="E9" s="7">
        <f t="shared" si="1"/>
        <v>3</v>
      </c>
      <c r="F9" s="7">
        <f t="shared" si="2"/>
        <v>20</v>
      </c>
      <c r="G9" s="7">
        <f t="shared" si="3"/>
        <v>30</v>
      </c>
      <c r="H9" s="7">
        <v>2</v>
      </c>
      <c r="I9" s="7">
        <f>IF(A9&lt;5,$X$1,IF(A9&gt;10,$AA$1,$Z$1))</f>
        <v>202</v>
      </c>
      <c r="J9" s="7">
        <v>10</v>
      </c>
      <c r="K9" s="7">
        <f>IF(H9=1,"",INDEX($X$1:$X$3,MATCH(H9,$V$1:$V$3,0)))</f>
        <v>205</v>
      </c>
      <c r="L9" s="7">
        <f t="shared" si="4"/>
        <v>5</v>
      </c>
      <c r="M9">
        <v>110</v>
      </c>
      <c r="N9" s="7">
        <f>IF(A9&lt;5,$X$1,IF(A9&gt;10,$AA$1,$Z$1))</f>
        <v>202</v>
      </c>
      <c r="O9" s="7">
        <v>10</v>
      </c>
      <c r="P9" s="7">
        <f>IF(H9=1,"",INDEX($X$1:$X$3,MATCH(H9,$V$1:$V$3,0)))</f>
        <v>205</v>
      </c>
      <c r="Q9" s="7">
        <f t="shared" si="5"/>
        <v>5</v>
      </c>
      <c r="R9" s="7">
        <v>60</v>
      </c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9"/>
        <v>5</v>
      </c>
      <c r="AA9" s="7">
        <f t="shared" si="10"/>
        <v>4</v>
      </c>
    </row>
    <row r="10" spans="1:27">
      <c r="A10" s="7">
        <v>9</v>
      </c>
      <c r="B10" s="7">
        <f t="shared" si="8"/>
        <v>1300</v>
      </c>
      <c r="C10" s="7">
        <f t="shared" si="0"/>
        <v>29</v>
      </c>
      <c r="D10" s="7">
        <v>4</v>
      </c>
      <c r="E10" s="7">
        <f t="shared" si="1"/>
        <v>3.75</v>
      </c>
      <c r="F10" s="7">
        <f t="shared" si="2"/>
        <v>23</v>
      </c>
      <c r="G10" s="7">
        <f t="shared" si="3"/>
        <v>43.125</v>
      </c>
      <c r="H10" s="7">
        <v>1</v>
      </c>
      <c r="I10" s="7">
        <f>IF(A10&lt;5,$X$1,IF(A10&gt;10,$AA$1,$Z$1))</f>
        <v>202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>
        <v>140</v>
      </c>
      <c r="N10" s="7">
        <f>IF(A10&lt;5,$X$1,IF(A10&gt;10,$AA$1,$Z$1))</f>
        <v>202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>
        <v>60</v>
      </c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9"/>
        <v>7</v>
      </c>
      <c r="AA10" s="7">
        <f t="shared" si="10"/>
        <v>5</v>
      </c>
    </row>
    <row r="11" spans="1:27">
      <c r="A11" s="7">
        <v>10</v>
      </c>
      <c r="B11" s="7">
        <f t="shared" si="8"/>
        <v>1460</v>
      </c>
      <c r="C11" s="7">
        <f t="shared" si="0"/>
        <v>32</v>
      </c>
      <c r="D11" s="7">
        <v>6</v>
      </c>
      <c r="E11" s="7">
        <f t="shared" si="1"/>
        <v>5</v>
      </c>
      <c r="F11" s="7">
        <f t="shared" si="2"/>
        <v>26</v>
      </c>
      <c r="G11" s="7">
        <f t="shared" si="3"/>
        <v>65</v>
      </c>
      <c r="H11" s="7">
        <v>1</v>
      </c>
      <c r="I11" s="7">
        <f>IF(A11&lt;5,$X$1,IF(A11&gt;10,$AA$1,$Z$1))</f>
        <v>202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>
        <v>180</v>
      </c>
      <c r="N11" s="7">
        <f>IF(A11&lt;5,$X$1,IF(A11&gt;10,$AA$1,$Z$1))</f>
        <v>202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>
        <v>60</v>
      </c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f t="shared" si="8"/>
        <v>1630</v>
      </c>
      <c r="C12" s="7">
        <f t="shared" si="0"/>
        <v>35</v>
      </c>
      <c r="D12" s="7">
        <v>5</v>
      </c>
      <c r="E12" s="7"/>
      <c r="F12" s="7">
        <f t="shared" si="2"/>
        <v>28</v>
      </c>
      <c r="G12" s="7">
        <f t="shared" ref="G12:G14" si="11">($G$15-$G$11)/4+G11</f>
        <v>48.75</v>
      </c>
      <c r="H12" s="7">
        <v>1</v>
      </c>
      <c r="I12" s="7">
        <f>IF(A12&lt;5,$X$1,IF(A12&gt;10,$AA$1,$Z$1))</f>
        <v>203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>
        <v>220</v>
      </c>
      <c r="N12" s="7">
        <f>IF(A12&lt;5,$X$1,IF(A12&gt;10,$AA$1,$Z$1))</f>
        <v>203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>
        <v>70</v>
      </c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 t="shared" si="8"/>
        <v>1800</v>
      </c>
      <c r="C13" s="7">
        <f t="shared" si="0"/>
        <v>38</v>
      </c>
      <c r="D13" s="7">
        <v>8</v>
      </c>
      <c r="E13" s="7"/>
      <c r="F13" s="7">
        <f t="shared" si="2"/>
        <v>30</v>
      </c>
      <c r="G13" s="7">
        <f t="shared" si="11"/>
        <v>32.5</v>
      </c>
      <c r="H13" s="7">
        <v>3</v>
      </c>
      <c r="I13" s="7">
        <f>IF(A13&lt;5,$X$1,IF(A13&gt;10,$AA$1,$Z$1))</f>
        <v>203</v>
      </c>
      <c r="J13" s="7">
        <v>15</v>
      </c>
      <c r="K13" s="7">
        <f>IF(H13=1,"",INDEX($X$1:$X$3,MATCH(H13,$V$1:$V$3,0)))</f>
        <v>206</v>
      </c>
      <c r="L13" s="7">
        <f t="shared" si="4"/>
        <v>1</v>
      </c>
      <c r="M13">
        <v>270</v>
      </c>
      <c r="N13" s="7">
        <f>IF(A13&lt;5,$X$1,IF(A13&gt;10,$AA$1,$Z$1))</f>
        <v>203</v>
      </c>
      <c r="O13" s="7">
        <v>15</v>
      </c>
      <c r="P13" s="7">
        <f>IF(H13=1,"",INDEX($X$1:$X$3,MATCH(H13,$V$1:$V$3,0)))</f>
        <v>206</v>
      </c>
      <c r="Q13" s="7">
        <f t="shared" si="5"/>
        <v>1</v>
      </c>
      <c r="R13" s="7">
        <v>70</v>
      </c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>ROUNDDOWN(B32/$X$6,0)</f>
        <v>50</v>
      </c>
      <c r="D32" s="7"/>
      <c r="E32" s="7"/>
      <c r="F32" s="7">
        <f>ROUND(C32*$Y$6/100,0)</f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>ROUNDDOWN(B33/$X$6,0)</f>
        <v>74</v>
      </c>
      <c r="D33" s="7"/>
      <c r="E33" s="7"/>
      <c r="F33" s="7">
        <f>ROUND(C33*$Y$6/100,0)</f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201,10</v>
      </c>
      <c r="J40" s="7" t="str">
        <f t="shared" ref="J40:J69" si="13">IF(I40="","",_xlfn.TEXTJOIN(",",TRUE,I40,H40))</f>
        <v>201,10,1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201,10,1</v>
      </c>
      <c r="N40" s="7" t="str">
        <f t="shared" si="12"/>
        <v>201,10</v>
      </c>
      <c r="O40" s="7" t="str">
        <f t="shared" ref="O40:O69" si="16">IF(N40="","",N40&amp;","&amp;H40)</f>
        <v>201,10,1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201,10,1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I51" si="20">IF(I3="","",_xlfn.TEXTJOIN(",",TRUE,I3:J3))</f>
        <v>201,10</v>
      </c>
      <c r="J41" s="7" t="str">
        <f t="shared" si="13"/>
        <v>201,10,2</v>
      </c>
      <c r="K41" s="7" t="str">
        <f t="shared" ref="K41:K51" si="21">IF(K3="","",_xlfn.TEXTJOIN(",",TRUE,K3:L3))</f>
        <v/>
      </c>
      <c r="L41" s="7" t="str">
        <f t="shared" si="14"/>
        <v/>
      </c>
      <c r="M41" s="7" t="str">
        <f t="shared" si="15"/>
        <v>201,10,2</v>
      </c>
      <c r="N41" s="7" t="str">
        <f t="shared" ref="N41:N51" si="22">IF(N3="","",_xlfn.TEXTJOIN(",",TRUE,N3:O3))</f>
        <v>201,10</v>
      </c>
      <c r="O41" s="7" t="str">
        <f t="shared" si="16"/>
        <v>201,10,2</v>
      </c>
      <c r="P41" s="7" t="str">
        <f t="shared" si="17"/>
        <v/>
      </c>
      <c r="Q41" s="7" t="str">
        <f t="shared" si="18"/>
        <v/>
      </c>
      <c r="R41" s="7" t="str">
        <f t="shared" si="19"/>
        <v>201,10,2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si="20"/>
        <v>201,10</v>
      </c>
      <c r="J42" s="7" t="str">
        <f t="shared" si="13"/>
        <v>201,10,3</v>
      </c>
      <c r="K42" s="7" t="str">
        <f t="shared" si="21"/>
        <v/>
      </c>
      <c r="L42" s="7" t="str">
        <f t="shared" si="14"/>
        <v/>
      </c>
      <c r="M42" s="7" t="str">
        <f t="shared" si="15"/>
        <v>201,10,3</v>
      </c>
      <c r="N42" s="7" t="str">
        <f t="shared" si="22"/>
        <v>201,10</v>
      </c>
      <c r="O42" s="7" t="str">
        <f t="shared" si="16"/>
        <v>201,10,3</v>
      </c>
      <c r="P42" s="7" t="str">
        <f t="shared" si="17"/>
        <v/>
      </c>
      <c r="Q42" s="7" t="str">
        <f t="shared" si="18"/>
        <v/>
      </c>
      <c r="R42" s="7" t="str">
        <f t="shared" si="19"/>
        <v>201,10,3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si="20"/>
        <v>201,10</v>
      </c>
      <c r="J43" s="7" t="str">
        <f t="shared" si="13"/>
        <v>201,10,4</v>
      </c>
      <c r="K43" s="7" t="str">
        <f t="shared" si="21"/>
        <v>205,5</v>
      </c>
      <c r="L43" s="7" t="str">
        <f t="shared" si="14"/>
        <v>205,5,4</v>
      </c>
      <c r="M43" s="7" t="str">
        <f t="shared" si="15"/>
        <v>201,10,4;205,5,4</v>
      </c>
      <c r="N43" s="7" t="str">
        <f t="shared" si="22"/>
        <v>201,10</v>
      </c>
      <c r="O43" s="7" t="str">
        <f t="shared" si="16"/>
        <v>201,10,4</v>
      </c>
      <c r="P43" s="7" t="str">
        <f t="shared" si="17"/>
        <v>205,5</v>
      </c>
      <c r="Q43" s="7" t="str">
        <f t="shared" si="18"/>
        <v>205,5,4</v>
      </c>
      <c r="R43" s="7" t="str">
        <f t="shared" si="19"/>
        <v>201,10,4;205,5,4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si="20"/>
        <v>202,10</v>
      </c>
      <c r="J44" s="7" t="str">
        <f t="shared" si="13"/>
        <v>202,10,5</v>
      </c>
      <c r="K44" s="7" t="str">
        <f t="shared" si="21"/>
        <v/>
      </c>
      <c r="L44" s="7" t="str">
        <f t="shared" si="14"/>
        <v/>
      </c>
      <c r="M44" s="7" t="str">
        <f t="shared" si="15"/>
        <v>202,10,5</v>
      </c>
      <c r="N44" s="7" t="str">
        <f t="shared" si="22"/>
        <v>202,10</v>
      </c>
      <c r="O44" s="7" t="str">
        <f t="shared" si="16"/>
        <v>202,10,5</v>
      </c>
      <c r="P44" s="7" t="str">
        <f t="shared" si="17"/>
        <v/>
      </c>
      <c r="Q44" s="7" t="str">
        <f t="shared" si="18"/>
        <v/>
      </c>
      <c r="R44" s="7" t="str">
        <f t="shared" si="19"/>
        <v>202,10,5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si="20"/>
        <v>202,10</v>
      </c>
      <c r="J45" s="7" t="str">
        <f t="shared" si="13"/>
        <v>202,10,6</v>
      </c>
      <c r="K45" s="7" t="str">
        <f t="shared" si="21"/>
        <v/>
      </c>
      <c r="L45" s="7" t="str">
        <f t="shared" si="14"/>
        <v/>
      </c>
      <c r="M45" s="7" t="str">
        <f t="shared" si="15"/>
        <v>202,10,6</v>
      </c>
      <c r="N45" s="7" t="str">
        <f t="shared" si="22"/>
        <v>202,10</v>
      </c>
      <c r="O45" s="7" t="str">
        <f t="shared" si="16"/>
        <v>202,10,6</v>
      </c>
      <c r="P45" s="7" t="str">
        <f t="shared" si="17"/>
        <v/>
      </c>
      <c r="Q45" s="7" t="str">
        <f t="shared" si="18"/>
        <v/>
      </c>
      <c r="R45" s="7" t="str">
        <f t="shared" si="19"/>
        <v>202,10,6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si="20"/>
        <v>202,10</v>
      </c>
      <c r="J46" s="7" t="str">
        <f t="shared" si="13"/>
        <v>202,10,7</v>
      </c>
      <c r="K46" s="7" t="str">
        <f t="shared" si="21"/>
        <v/>
      </c>
      <c r="L46" s="7" t="str">
        <f t="shared" si="14"/>
        <v/>
      </c>
      <c r="M46" s="7" t="str">
        <f t="shared" si="15"/>
        <v>202,10,7</v>
      </c>
      <c r="N46" s="7" t="str">
        <f t="shared" si="22"/>
        <v>202,10</v>
      </c>
      <c r="O46" s="7" t="str">
        <f t="shared" si="16"/>
        <v>202,10,7</v>
      </c>
      <c r="P46" s="7" t="str">
        <f t="shared" si="17"/>
        <v/>
      </c>
      <c r="Q46" s="7" t="str">
        <f t="shared" si="18"/>
        <v/>
      </c>
      <c r="R46" s="7" t="str">
        <f t="shared" si="19"/>
        <v>202,10,7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si="20"/>
        <v>202,10</v>
      </c>
      <c r="J47" s="7" t="str">
        <f t="shared" si="13"/>
        <v>202,10,8</v>
      </c>
      <c r="K47" s="7" t="str">
        <f t="shared" si="21"/>
        <v>205,5</v>
      </c>
      <c r="L47" s="7" t="str">
        <f t="shared" si="14"/>
        <v>205,5,8</v>
      </c>
      <c r="M47" s="7" t="str">
        <f t="shared" si="15"/>
        <v>202,10,8;205,5,8</v>
      </c>
      <c r="N47" s="7" t="str">
        <f t="shared" si="22"/>
        <v>202,10</v>
      </c>
      <c r="O47" s="7" t="str">
        <f t="shared" si="16"/>
        <v>202,10,8</v>
      </c>
      <c r="P47" s="7" t="str">
        <f t="shared" si="17"/>
        <v>205,5</v>
      </c>
      <c r="Q47" s="7" t="str">
        <f t="shared" si="18"/>
        <v>205,5,8</v>
      </c>
      <c r="R47" s="7" t="str">
        <f t="shared" si="19"/>
        <v>202,10,8;205,5,8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si="20"/>
        <v>202,15</v>
      </c>
      <c r="J48" s="7" t="str">
        <f t="shared" si="13"/>
        <v>202,15,9</v>
      </c>
      <c r="K48" s="7" t="str">
        <f t="shared" si="21"/>
        <v/>
      </c>
      <c r="L48" s="7" t="str">
        <f t="shared" si="14"/>
        <v/>
      </c>
      <c r="M48" s="7" t="str">
        <f t="shared" si="15"/>
        <v>202,15,9</v>
      </c>
      <c r="N48" s="7" t="str">
        <f t="shared" si="22"/>
        <v>202,15</v>
      </c>
      <c r="O48" s="7" t="str">
        <f t="shared" si="16"/>
        <v>202,15,9</v>
      </c>
      <c r="P48" s="7" t="str">
        <f t="shared" si="17"/>
        <v/>
      </c>
      <c r="Q48" s="7" t="str">
        <f t="shared" si="18"/>
        <v/>
      </c>
      <c r="R48" s="7" t="str">
        <f t="shared" si="19"/>
        <v>202,15,9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si="20"/>
        <v>202,15</v>
      </c>
      <c r="J49" s="7" t="str">
        <f t="shared" si="13"/>
        <v>202,15,10</v>
      </c>
      <c r="K49" s="7" t="str">
        <f t="shared" si="21"/>
        <v/>
      </c>
      <c r="L49" s="7" t="str">
        <f t="shared" si="14"/>
        <v/>
      </c>
      <c r="M49" s="7" t="str">
        <f t="shared" si="15"/>
        <v>202,15,10</v>
      </c>
      <c r="N49" s="7" t="str">
        <f t="shared" si="22"/>
        <v>202,15</v>
      </c>
      <c r="O49" s="7" t="str">
        <f t="shared" si="16"/>
        <v>202,15,10</v>
      </c>
      <c r="P49" s="7" t="str">
        <f t="shared" si="17"/>
        <v/>
      </c>
      <c r="Q49" s="7" t="str">
        <f t="shared" si="18"/>
        <v/>
      </c>
      <c r="R49" s="7" t="str">
        <f t="shared" si="19"/>
        <v>202,15,10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si="20"/>
        <v>203,15</v>
      </c>
      <c r="J50" s="7" t="str">
        <f t="shared" si="13"/>
        <v>203,15,11</v>
      </c>
      <c r="K50" s="7" t="str">
        <f t="shared" si="21"/>
        <v/>
      </c>
      <c r="L50" s="7" t="str">
        <f t="shared" si="14"/>
        <v/>
      </c>
      <c r="M50" s="7" t="str">
        <f t="shared" si="15"/>
        <v>203,15,11</v>
      </c>
      <c r="N50" s="7" t="str">
        <f t="shared" si="22"/>
        <v>203,15</v>
      </c>
      <c r="O50" s="7" t="str">
        <f t="shared" si="16"/>
        <v>203,15,11</v>
      </c>
      <c r="P50" s="7" t="str">
        <f t="shared" si="17"/>
        <v/>
      </c>
      <c r="Q50" s="7" t="str">
        <f t="shared" si="18"/>
        <v/>
      </c>
      <c r="R50" s="7" t="str">
        <f t="shared" si="19"/>
        <v>203,15,11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si="20"/>
        <v>203,15</v>
      </c>
      <c r="J51" s="7" t="str">
        <f t="shared" si="13"/>
        <v>203,15,12</v>
      </c>
      <c r="K51" s="7" t="str">
        <f t="shared" si="21"/>
        <v>206,1</v>
      </c>
      <c r="L51" s="7" t="str">
        <f t="shared" si="14"/>
        <v>206,1,12</v>
      </c>
      <c r="M51" s="7" t="str">
        <f t="shared" si="15"/>
        <v>203,15,12;206,1,12</v>
      </c>
      <c r="N51" s="7" t="str">
        <f t="shared" si="22"/>
        <v>203,15</v>
      </c>
      <c r="O51" s="7" t="str">
        <f t="shared" si="16"/>
        <v>203,15,12</v>
      </c>
      <c r="P51" s="7" t="str">
        <f t="shared" si="17"/>
        <v>206,1</v>
      </c>
      <c r="Q51" s="7" t="str">
        <f t="shared" si="18"/>
        <v>206,1,12</v>
      </c>
      <c r="R51" s="7" t="str">
        <f t="shared" si="19"/>
        <v>203,15,12;206,1,12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23">IF(I14="","",_xlfn.TEXTJOIN(",",TRUE,I14:J14))</f>
        <v/>
      </c>
      <c r="J52" s="7" t="str">
        <f t="shared" si="13"/>
        <v/>
      </c>
      <c r="K52" s="7" t="str">
        <f t="shared" si="23"/>
        <v/>
      </c>
      <c r="L52" s="7" t="str">
        <f t="shared" si="14"/>
        <v/>
      </c>
      <c r="M52" s="7" t="str">
        <f t="shared" si="15"/>
        <v/>
      </c>
      <c r="N52" s="7" t="str">
        <f t="shared" si="23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24">IF(I15="","",_xlfn.TEXTJOIN(",",TRUE,I15:J15))</f>
        <v/>
      </c>
      <c r="J53" s="7" t="str">
        <f t="shared" si="13"/>
        <v/>
      </c>
      <c r="K53" s="7" t="str">
        <f t="shared" si="24"/>
        <v/>
      </c>
      <c r="L53" s="7" t="str">
        <f t="shared" si="14"/>
        <v/>
      </c>
      <c r="M53" s="7" t="str">
        <f t="shared" si="15"/>
        <v/>
      </c>
      <c r="N53" s="7" t="str">
        <f t="shared" si="24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25">IF(I16="","",_xlfn.TEXTJOIN(",",TRUE,I16:J16))</f>
        <v/>
      </c>
      <c r="J54" s="7" t="str">
        <f t="shared" si="13"/>
        <v/>
      </c>
      <c r="K54" s="7" t="str">
        <f t="shared" si="25"/>
        <v/>
      </c>
      <c r="L54" s="7" t="str">
        <f t="shared" si="14"/>
        <v/>
      </c>
      <c r="M54" s="7" t="str">
        <f t="shared" si="15"/>
        <v/>
      </c>
      <c r="N54" s="7" t="str">
        <f t="shared" si="25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26">IF(I17="","",_xlfn.TEXTJOIN(",",TRUE,I17:J17))</f>
        <v/>
      </c>
      <c r="J55" s="7" t="str">
        <f t="shared" si="13"/>
        <v/>
      </c>
      <c r="K55" s="7" t="str">
        <f t="shared" si="26"/>
        <v/>
      </c>
      <c r="L55" s="7" t="str">
        <f t="shared" si="14"/>
        <v/>
      </c>
      <c r="M55" s="7" t="str">
        <f t="shared" si="15"/>
        <v/>
      </c>
      <c r="N55" s="7" t="str">
        <f t="shared" si="26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27">IF(I18="","",_xlfn.TEXTJOIN(",",TRUE,I18:J18))</f>
        <v/>
      </c>
      <c r="J56" s="7" t="str">
        <f t="shared" si="13"/>
        <v/>
      </c>
      <c r="K56" s="7" t="str">
        <f t="shared" si="27"/>
        <v/>
      </c>
      <c r="L56" s="7" t="str">
        <f t="shared" si="14"/>
        <v/>
      </c>
      <c r="M56" s="7" t="str">
        <f t="shared" si="15"/>
        <v/>
      </c>
      <c r="N56" s="7" t="str">
        <f t="shared" si="27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28">IF(I19="","",_xlfn.TEXTJOIN(",",TRUE,I19:J19))</f>
        <v/>
      </c>
      <c r="J57" s="7" t="str">
        <f t="shared" si="13"/>
        <v/>
      </c>
      <c r="K57" s="7" t="str">
        <f t="shared" si="28"/>
        <v/>
      </c>
      <c r="L57" s="7" t="str">
        <f t="shared" si="14"/>
        <v/>
      </c>
      <c r="M57" s="7" t="str">
        <f t="shared" si="15"/>
        <v/>
      </c>
      <c r="N57" s="7" t="str">
        <f t="shared" si="28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29">IF(I20="","",_xlfn.TEXTJOIN(",",TRUE,I20:J20))</f>
        <v/>
      </c>
      <c r="J58" s="7" t="str">
        <f t="shared" si="13"/>
        <v/>
      </c>
      <c r="K58" s="7" t="str">
        <f t="shared" si="29"/>
        <v/>
      </c>
      <c r="L58" s="7" t="str">
        <f t="shared" si="14"/>
        <v/>
      </c>
      <c r="M58" s="7" t="str">
        <f t="shared" si="15"/>
        <v/>
      </c>
      <c r="N58" s="7" t="str">
        <f t="shared" si="29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0">IF(I21="","",_xlfn.TEXTJOIN(",",TRUE,I21:J21))</f>
        <v/>
      </c>
      <c r="J59" s="7" t="str">
        <f t="shared" si="13"/>
        <v/>
      </c>
      <c r="K59" s="7" t="str">
        <f t="shared" si="30"/>
        <v/>
      </c>
      <c r="L59" s="7" t="str">
        <f t="shared" si="14"/>
        <v/>
      </c>
      <c r="M59" s="7" t="str">
        <f t="shared" si="15"/>
        <v/>
      </c>
      <c r="N59" s="7" t="str">
        <f t="shared" si="30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1">IF(I22="","",_xlfn.TEXTJOIN(",",TRUE,I22:J22))</f>
        <v/>
      </c>
      <c r="J60" s="7" t="str">
        <f t="shared" si="13"/>
        <v/>
      </c>
      <c r="K60" s="7" t="str">
        <f t="shared" si="31"/>
        <v/>
      </c>
      <c r="L60" s="7" t="str">
        <f t="shared" si="14"/>
        <v/>
      </c>
      <c r="M60" s="7" t="str">
        <f t="shared" si="15"/>
        <v/>
      </c>
      <c r="N60" s="7" t="str">
        <f t="shared" si="31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32">IF(I23="","",_xlfn.TEXTJOIN(",",TRUE,I23:J23))</f>
        <v/>
      </c>
      <c r="J61" s="7" t="str">
        <f t="shared" si="13"/>
        <v/>
      </c>
      <c r="K61" s="7" t="str">
        <f t="shared" si="32"/>
        <v/>
      </c>
      <c r="L61" s="7" t="str">
        <f t="shared" si="14"/>
        <v/>
      </c>
      <c r="M61" s="7" t="str">
        <f t="shared" si="15"/>
        <v/>
      </c>
      <c r="N61" s="7" t="str">
        <f t="shared" si="32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33">IF(I24="","",_xlfn.TEXTJOIN(",",TRUE,I24:J24))</f>
        <v/>
      </c>
      <c r="J62" s="7" t="str">
        <f t="shared" si="13"/>
        <v/>
      </c>
      <c r="K62" s="7" t="str">
        <f t="shared" si="33"/>
        <v/>
      </c>
      <c r="L62" s="7" t="str">
        <f t="shared" si="14"/>
        <v/>
      </c>
      <c r="M62" s="7" t="str">
        <f t="shared" si="15"/>
        <v/>
      </c>
      <c r="N62" s="7" t="str">
        <f t="shared" si="33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34">IF(I25="","",_xlfn.TEXTJOIN(",",TRUE,I25:J25))</f>
        <v/>
      </c>
      <c r="J63" s="7" t="str">
        <f t="shared" si="13"/>
        <v/>
      </c>
      <c r="K63" s="7" t="str">
        <f t="shared" si="34"/>
        <v/>
      </c>
      <c r="L63" s="7" t="str">
        <f t="shared" si="14"/>
        <v/>
      </c>
      <c r="M63" s="7" t="str">
        <f t="shared" si="15"/>
        <v/>
      </c>
      <c r="N63" s="7" t="str">
        <f t="shared" si="34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35">IF(I26="","",_xlfn.TEXTJOIN(",",TRUE,I26:J26))</f>
        <v/>
      </c>
      <c r="J64" s="7" t="str">
        <f t="shared" si="13"/>
        <v/>
      </c>
      <c r="K64" s="7" t="str">
        <f t="shared" si="35"/>
        <v/>
      </c>
      <c r="L64" s="7" t="str">
        <f t="shared" si="14"/>
        <v/>
      </c>
      <c r="M64" s="7" t="str">
        <f t="shared" si="15"/>
        <v/>
      </c>
      <c r="N64" s="7" t="str">
        <f t="shared" si="35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36">IF(I27="","",_xlfn.TEXTJOIN(",",TRUE,I27:J27))</f>
        <v/>
      </c>
      <c r="J65" s="7" t="str">
        <f t="shared" si="13"/>
        <v/>
      </c>
      <c r="K65" s="7" t="str">
        <f t="shared" si="36"/>
        <v/>
      </c>
      <c r="L65" s="7" t="str">
        <f t="shared" si="14"/>
        <v/>
      </c>
      <c r="M65" s="7" t="str">
        <f t="shared" si="15"/>
        <v/>
      </c>
      <c r="N65" s="7" t="str">
        <f t="shared" si="36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37">IF(I28="","",_xlfn.TEXTJOIN(",",TRUE,I28:J28))</f>
        <v/>
      </c>
      <c r="J66" s="7" t="str">
        <f t="shared" si="13"/>
        <v/>
      </c>
      <c r="K66" s="7" t="str">
        <f t="shared" si="37"/>
        <v/>
      </c>
      <c r="L66" s="7" t="str">
        <f t="shared" si="14"/>
        <v/>
      </c>
      <c r="M66" s="7" t="str">
        <f t="shared" si="15"/>
        <v/>
      </c>
      <c r="N66" s="7" t="str">
        <f t="shared" si="37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38">IF(I29="","",_xlfn.TEXTJOIN(",",TRUE,I29:J29))</f>
        <v/>
      </c>
      <c r="J67" s="7" t="str">
        <f t="shared" si="13"/>
        <v/>
      </c>
      <c r="K67" s="7" t="str">
        <f t="shared" si="38"/>
        <v/>
      </c>
      <c r="L67" s="7" t="str">
        <f t="shared" si="14"/>
        <v/>
      </c>
      <c r="M67" s="7" t="str">
        <f t="shared" si="15"/>
        <v/>
      </c>
      <c r="N67" s="7" t="str">
        <f t="shared" si="38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39">IF(I30="","",_xlfn.TEXTJOIN(",",TRUE,I30:J30))</f>
        <v/>
      </c>
      <c r="J68" s="7" t="str">
        <f t="shared" si="13"/>
        <v/>
      </c>
      <c r="K68" s="7" t="str">
        <f t="shared" si="39"/>
        <v/>
      </c>
      <c r="L68" s="7" t="str">
        <f t="shared" si="14"/>
        <v/>
      </c>
      <c r="M68" s="7" t="str">
        <f t="shared" si="15"/>
        <v/>
      </c>
      <c r="N68" s="7" t="str">
        <f t="shared" si="39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0">IF(I31="","",_xlfn.TEXTJOIN(",",TRUE,I31:J31))</f>
        <v/>
      </c>
      <c r="J69" s="7" t="str">
        <f t="shared" si="13"/>
        <v/>
      </c>
      <c r="K69" s="7" t="str">
        <f t="shared" si="40"/>
        <v/>
      </c>
      <c r="L69" s="7" t="str">
        <f t="shared" si="14"/>
        <v/>
      </c>
      <c r="M69" s="7" t="str">
        <f t="shared" si="15"/>
        <v/>
      </c>
      <c r="N69" s="7" t="str">
        <f t="shared" si="40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201,10,1|201,10,2|201,10,3|201,10,4;205,5,4|202,10,5|202,10,6|202,10,7|202,10,8;205,5,8|202,15,9|202,15,10|203,15,11|203,15,12;206,1,12</v>
      </c>
      <c r="N71" s="7"/>
      <c r="O71" s="7"/>
      <c r="P71" s="7"/>
      <c r="Q71" s="7"/>
      <c r="R71" s="15" t="str">
        <f>_xlfn.TEXTJOIN("|",TRUE,R40:R69)</f>
        <v>201,10,1|201,10,2|201,10,3|201,10,4;205,5,4|202,10,5|202,10,6|202,10,7|202,10,8;205,5,8|202,15,9|202,15,10|203,15,11|203,15,12;206,1,12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6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W79*(1-(N79-1)/6)*1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>SUM(P79:T79)+O79*0.2</f>
        <v>0.4</v>
      </c>
      <c r="V79" s="4">
        <v>1</v>
      </c>
      <c r="W79" s="7">
        <f>C2</f>
        <v>2</v>
      </c>
      <c r="X79" s="4">
        <f t="shared" ref="X79:X108" si="41">(O79*W79)^V79</f>
        <v>4</v>
      </c>
      <c r="Y79" s="4">
        <f t="shared" ref="Y79:Y108" si="4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43">$R$77*U79*(AB79+AC79)</f>
        <v>350</v>
      </c>
      <c r="AE79" s="4">
        <f>ROUND(AD79/AA79*AG79,0)</f>
        <v>11</v>
      </c>
      <c r="AF79" s="4">
        <f>ROUND(AD79/AA79*AG79,0)</f>
        <v>11</v>
      </c>
      <c r="AG79" s="4">
        <v>0.6</v>
      </c>
      <c r="AH79">
        <f>AF79</f>
        <v>11</v>
      </c>
      <c r="AI79">
        <f>AH79</f>
        <v>11</v>
      </c>
      <c r="AJ79">
        <f>ROUND(AI79,0)</f>
        <v>11</v>
      </c>
    </row>
    <row r="80" customFormat="1" spans="1:36">
      <c r="A80" s="4">
        <v>2</v>
      </c>
      <c r="B80" s="7"/>
      <c r="C80" s="7"/>
      <c r="D80" s="7"/>
      <c r="E80" s="7"/>
      <c r="F80" s="7"/>
      <c r="G80" s="7"/>
      <c r="H80" s="4"/>
      <c r="I80" s="4"/>
      <c r="J80" s="7">
        <v>0</v>
      </c>
      <c r="K80" s="7">
        <v>0</v>
      </c>
      <c r="L80" s="7">
        <v>0</v>
      </c>
      <c r="M80" s="7">
        <v>0</v>
      </c>
      <c r="N80" s="7">
        <v>1</v>
      </c>
      <c r="O80" s="4">
        <f>W80*(1-(N80-1)/6)*1</f>
        <v>6</v>
      </c>
      <c r="P80" s="7"/>
      <c r="Q80" s="7">
        <v>0</v>
      </c>
      <c r="R80" s="7">
        <v>0</v>
      </c>
      <c r="S80" s="7">
        <v>0</v>
      </c>
      <c r="T80" s="7">
        <v>0</v>
      </c>
      <c r="U80" s="7">
        <f t="shared" ref="U80:U108" si="44">SUM(P80:T80)+O80*0.2</f>
        <v>1.2</v>
      </c>
      <c r="V80" s="4">
        <v>1</v>
      </c>
      <c r="W80" s="7">
        <f t="shared" ref="W80:W90" si="45">C3</f>
        <v>6</v>
      </c>
      <c r="X80" s="4">
        <f t="shared" si="41"/>
        <v>36</v>
      </c>
      <c r="Y80" s="4">
        <f t="shared" si="4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43"/>
        <v>1050</v>
      </c>
      <c r="AE80" s="4">
        <f t="shared" ref="AE80:AE90" si="46">ROUND(AD80/AA80*AG80,0)</f>
        <v>34</v>
      </c>
      <c r="AF80" s="4">
        <f t="shared" ref="AF80:AF90" si="47">ROUND(AD80/AA80*AG80,0)</f>
        <v>34</v>
      </c>
      <c r="AG80" s="4">
        <v>0.65</v>
      </c>
      <c r="AH80">
        <f t="shared" ref="AH80:AH90" si="48">AF80</f>
        <v>34</v>
      </c>
      <c r="AI80">
        <f>AH80</f>
        <v>34</v>
      </c>
      <c r="AJ80">
        <f t="shared" ref="AJ80:AJ90" si="49">ROUND(AI80,0)</f>
        <v>34</v>
      </c>
    </row>
    <row r="81" customFormat="1" spans="1:36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W81*(1-(N81-1)/6)*1</f>
        <v>7.5</v>
      </c>
      <c r="P81" s="7">
        <f>W81/6*1</f>
        <v>1.5</v>
      </c>
      <c r="Q81" s="7">
        <v>0</v>
      </c>
      <c r="R81" s="7">
        <v>0</v>
      </c>
      <c r="S81" s="7">
        <v>0</v>
      </c>
      <c r="T81" s="7">
        <v>0</v>
      </c>
      <c r="U81" s="7">
        <f t="shared" si="44"/>
        <v>3</v>
      </c>
      <c r="V81" s="4">
        <v>1</v>
      </c>
      <c r="W81" s="7">
        <f t="shared" si="45"/>
        <v>9</v>
      </c>
      <c r="X81" s="4">
        <f t="shared" si="41"/>
        <v>67.5</v>
      </c>
      <c r="Y81" s="4">
        <f t="shared" si="4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43"/>
        <v>2625</v>
      </c>
      <c r="AE81" s="4">
        <f t="shared" si="46"/>
        <v>92</v>
      </c>
      <c r="AF81" s="4">
        <f t="shared" si="47"/>
        <v>92</v>
      </c>
      <c r="AG81" s="4">
        <v>0.7</v>
      </c>
      <c r="AH81">
        <f t="shared" si="48"/>
        <v>92</v>
      </c>
      <c r="AI81">
        <f>AH81</f>
        <v>92</v>
      </c>
      <c r="AJ81">
        <f t="shared" si="49"/>
        <v>92</v>
      </c>
    </row>
    <row r="82" customFormat="1" spans="1:36">
      <c r="A82" s="4">
        <v>4</v>
      </c>
      <c r="B82" s="7">
        <v>1</v>
      </c>
      <c r="C82" s="7"/>
      <c r="D82" s="7"/>
      <c r="E82" s="7"/>
      <c r="F82" s="7"/>
      <c r="G82" s="7"/>
      <c r="H82" s="4"/>
      <c r="I82" s="4"/>
      <c r="J82" s="7">
        <v>0</v>
      </c>
      <c r="K82" s="7">
        <v>0</v>
      </c>
      <c r="L82" s="7">
        <v>0</v>
      </c>
      <c r="M82" s="7">
        <v>0</v>
      </c>
      <c r="N82" s="7">
        <v>2</v>
      </c>
      <c r="O82" s="4">
        <f>W82*(1-(N82-1)/6)*1</f>
        <v>10</v>
      </c>
      <c r="P82" s="7">
        <f>W82/6*1</f>
        <v>2</v>
      </c>
      <c r="Q82" s="7">
        <f>W82/6*1</f>
        <v>2</v>
      </c>
      <c r="R82" s="7">
        <v>0</v>
      </c>
      <c r="S82" s="7">
        <v>0</v>
      </c>
      <c r="T82" s="7">
        <v>0</v>
      </c>
      <c r="U82" s="7">
        <f t="shared" si="44"/>
        <v>6</v>
      </c>
      <c r="V82" s="4">
        <v>1</v>
      </c>
      <c r="W82" s="7">
        <f t="shared" si="45"/>
        <v>12</v>
      </c>
      <c r="X82" s="4">
        <f t="shared" si="41"/>
        <v>120</v>
      </c>
      <c r="Y82" s="4">
        <f t="shared" si="42"/>
        <v>0</v>
      </c>
      <c r="Z82" s="7">
        <v>1</v>
      </c>
      <c r="AA82" s="7">
        <v>40</v>
      </c>
      <c r="AB82" s="7">
        <v>25</v>
      </c>
      <c r="AC82" s="7">
        <v>10</v>
      </c>
      <c r="AD82" s="7">
        <f t="shared" si="43"/>
        <v>5250</v>
      </c>
      <c r="AE82" s="4">
        <f t="shared" si="46"/>
        <v>92</v>
      </c>
      <c r="AF82" s="4">
        <f t="shared" si="47"/>
        <v>92</v>
      </c>
      <c r="AG82" s="4">
        <v>0.7</v>
      </c>
      <c r="AH82">
        <f t="shared" si="48"/>
        <v>92</v>
      </c>
      <c r="AI82">
        <f>AH82</f>
        <v>92</v>
      </c>
      <c r="AJ82">
        <f t="shared" si="49"/>
        <v>92</v>
      </c>
    </row>
    <row r="83" customFormat="1" spans="1:36">
      <c r="A83" s="9">
        <v>5</v>
      </c>
      <c r="B83" s="10"/>
      <c r="C83" s="10"/>
      <c r="D83" s="10"/>
      <c r="E83" s="10"/>
      <c r="F83" s="10"/>
      <c r="G83" s="10"/>
      <c r="H83" s="4">
        <v>0.5</v>
      </c>
      <c r="I83" s="4"/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>W83*(1-(N83-1)/6)*(1+0.5)</f>
        <v>15</v>
      </c>
      <c r="P83" s="7">
        <f>W83/6*1</f>
        <v>2.5</v>
      </c>
      <c r="Q83" s="7">
        <f>W83/6*1</f>
        <v>2.5</v>
      </c>
      <c r="R83" s="7">
        <v>0</v>
      </c>
      <c r="S83" s="7">
        <v>0</v>
      </c>
      <c r="T83" s="7">
        <v>0</v>
      </c>
      <c r="U83" s="7">
        <f t="shared" si="44"/>
        <v>8</v>
      </c>
      <c r="V83" s="4">
        <v>1</v>
      </c>
      <c r="W83" s="7">
        <f t="shared" si="45"/>
        <v>15</v>
      </c>
      <c r="X83" s="4">
        <f t="shared" si="41"/>
        <v>225</v>
      </c>
      <c r="Y83" s="4">
        <f t="shared" si="42"/>
        <v>0</v>
      </c>
      <c r="Z83" s="7">
        <v>1</v>
      </c>
      <c r="AA83" s="7">
        <v>20</v>
      </c>
      <c r="AB83" s="7">
        <v>25</v>
      </c>
      <c r="AC83" s="7">
        <v>10</v>
      </c>
      <c r="AD83" s="7">
        <f t="shared" si="43"/>
        <v>7000</v>
      </c>
      <c r="AE83" s="4">
        <f t="shared" si="46"/>
        <v>263</v>
      </c>
      <c r="AF83" s="4">
        <f t="shared" si="47"/>
        <v>263</v>
      </c>
      <c r="AG83" s="4">
        <v>0.75</v>
      </c>
      <c r="AH83">
        <f t="shared" si="48"/>
        <v>263</v>
      </c>
      <c r="AI83">
        <f>AH83</f>
        <v>263</v>
      </c>
      <c r="AJ83">
        <f t="shared" si="49"/>
        <v>263</v>
      </c>
    </row>
    <row r="84" customFormat="1" spans="1:36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>
        <v>0</v>
      </c>
      <c r="K84" s="7">
        <v>0</v>
      </c>
      <c r="L84" s="7">
        <v>0</v>
      </c>
      <c r="M84" s="7">
        <v>0</v>
      </c>
      <c r="N84" s="7">
        <v>3</v>
      </c>
      <c r="O84" s="4">
        <f>W84*(1-(N84-1)/6)*(1+0.5)</f>
        <v>18</v>
      </c>
      <c r="P84" s="7">
        <f>W84/6*(1+1)</f>
        <v>6</v>
      </c>
      <c r="Q84" s="7">
        <f>W84/6*1</f>
        <v>3</v>
      </c>
      <c r="R84" s="7">
        <v>0</v>
      </c>
      <c r="S84" s="7">
        <v>0</v>
      </c>
      <c r="T84" s="7">
        <v>0</v>
      </c>
      <c r="U84" s="7">
        <f t="shared" si="44"/>
        <v>12.6</v>
      </c>
      <c r="V84" s="4">
        <v>1</v>
      </c>
      <c r="W84" s="7">
        <f t="shared" si="45"/>
        <v>18</v>
      </c>
      <c r="X84" s="4">
        <f t="shared" si="41"/>
        <v>324</v>
      </c>
      <c r="Y84" s="4">
        <f t="shared" si="4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43"/>
        <v>11025</v>
      </c>
      <c r="AE84" s="4">
        <f t="shared" si="46"/>
        <v>413</v>
      </c>
      <c r="AF84" s="4">
        <f t="shared" si="47"/>
        <v>413</v>
      </c>
      <c r="AG84" s="4">
        <v>0.75</v>
      </c>
      <c r="AH84">
        <f t="shared" si="48"/>
        <v>413</v>
      </c>
      <c r="AI84">
        <f>AH83*2.5</f>
        <v>657.5</v>
      </c>
      <c r="AJ84">
        <f t="shared" si="49"/>
        <v>658</v>
      </c>
    </row>
    <row r="85" customFormat="1" spans="1:36">
      <c r="A85" s="9">
        <v>7</v>
      </c>
      <c r="B85" s="10"/>
      <c r="C85" s="10"/>
      <c r="D85" s="10">
        <v>1</v>
      </c>
      <c r="E85" s="10"/>
      <c r="F85" s="10"/>
      <c r="G85" s="10"/>
      <c r="H85" s="4"/>
      <c r="I85" s="4"/>
      <c r="J85" s="7">
        <v>1</v>
      </c>
      <c r="K85" s="7">
        <v>0</v>
      </c>
      <c r="L85" s="7">
        <v>0</v>
      </c>
      <c r="M85" s="7">
        <v>0</v>
      </c>
      <c r="N85" s="7">
        <v>3</v>
      </c>
      <c r="O85" s="4">
        <f>W85*(1-(N85-1)/6)*(1+0.5)</f>
        <v>22</v>
      </c>
      <c r="P85" s="7">
        <f>W85/6*(1+1)</f>
        <v>7.33333333333333</v>
      </c>
      <c r="Q85" s="7">
        <f>W85/6*(1+1)</f>
        <v>7.33333333333333</v>
      </c>
      <c r="R85" s="7">
        <v>0</v>
      </c>
      <c r="S85" s="7">
        <v>0</v>
      </c>
      <c r="T85" s="7">
        <v>0</v>
      </c>
      <c r="U85" s="7">
        <f t="shared" si="44"/>
        <v>19.0666666666667</v>
      </c>
      <c r="V85" s="4">
        <v>1</v>
      </c>
      <c r="W85" s="7">
        <f t="shared" si="45"/>
        <v>22</v>
      </c>
      <c r="X85" s="4">
        <f t="shared" si="41"/>
        <v>484</v>
      </c>
      <c r="Y85" s="4">
        <f t="shared" si="4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43"/>
        <v>16683.3333333333</v>
      </c>
      <c r="AE85" s="4">
        <f t="shared" si="46"/>
        <v>667</v>
      </c>
      <c r="AF85" s="4">
        <f t="shared" si="47"/>
        <v>667</v>
      </c>
      <c r="AG85" s="4">
        <v>0.8</v>
      </c>
      <c r="AH85">
        <f t="shared" si="48"/>
        <v>667</v>
      </c>
      <c r="AI85">
        <f>AI84*2.5</f>
        <v>1643.75</v>
      </c>
      <c r="AJ85">
        <f t="shared" si="49"/>
        <v>1644</v>
      </c>
    </row>
    <row r="86" customFormat="1" spans="1:36">
      <c r="A86" s="4">
        <v>8</v>
      </c>
      <c r="B86" s="7">
        <v>1</v>
      </c>
      <c r="C86" s="7">
        <v>1</v>
      </c>
      <c r="D86" s="7">
        <v>1</v>
      </c>
      <c r="E86" s="7"/>
      <c r="F86" s="7"/>
      <c r="G86" s="7"/>
      <c r="H86" s="4">
        <v>1</v>
      </c>
      <c r="I86" s="4">
        <v>1</v>
      </c>
      <c r="J86" s="4">
        <v>1</v>
      </c>
      <c r="K86" s="7">
        <v>0</v>
      </c>
      <c r="L86" s="7">
        <v>0</v>
      </c>
      <c r="M86" s="7">
        <v>0</v>
      </c>
      <c r="N86" s="7">
        <v>3</v>
      </c>
      <c r="O86" s="4">
        <f>W86*(1-(N86-1)/6)*(1+0.5)*(1+1)</f>
        <v>50</v>
      </c>
      <c r="P86" s="7">
        <f>W86/6*(1+1)*(1+1)</f>
        <v>16.6666666666667</v>
      </c>
      <c r="Q86" s="7">
        <f>W86/6*(1+1)*(1+1)</f>
        <v>16.6666666666667</v>
      </c>
      <c r="R86" s="7">
        <v>0</v>
      </c>
      <c r="S86" s="7">
        <v>0</v>
      </c>
      <c r="T86" s="7">
        <v>0</v>
      </c>
      <c r="U86" s="7">
        <f t="shared" si="44"/>
        <v>43.3333333333333</v>
      </c>
      <c r="V86" s="4">
        <v>1</v>
      </c>
      <c r="W86" s="7">
        <f t="shared" si="45"/>
        <v>25</v>
      </c>
      <c r="X86" s="4">
        <f t="shared" si="41"/>
        <v>1250</v>
      </c>
      <c r="Y86" s="4">
        <f t="shared" si="42"/>
        <v>0</v>
      </c>
      <c r="Z86" s="7">
        <v>1</v>
      </c>
      <c r="AA86" s="7">
        <v>40</v>
      </c>
      <c r="AB86" s="7">
        <v>25</v>
      </c>
      <c r="AC86" s="7">
        <v>10</v>
      </c>
      <c r="AD86" s="7">
        <f t="shared" si="43"/>
        <v>37916.6666666667</v>
      </c>
      <c r="AE86" s="4">
        <f t="shared" si="46"/>
        <v>758</v>
      </c>
      <c r="AF86" s="4">
        <f t="shared" si="47"/>
        <v>758</v>
      </c>
      <c r="AG86" s="4">
        <v>0.8</v>
      </c>
      <c r="AH86">
        <f t="shared" si="48"/>
        <v>758</v>
      </c>
      <c r="AI86">
        <f>AI85*3</f>
        <v>4931.25</v>
      </c>
      <c r="AJ86">
        <f t="shared" si="49"/>
        <v>4931</v>
      </c>
    </row>
    <row r="87" customFormat="1" spans="1:36">
      <c r="A87" s="9">
        <v>9</v>
      </c>
      <c r="B87" s="10">
        <v>1</v>
      </c>
      <c r="C87" s="10">
        <v>1</v>
      </c>
      <c r="D87" s="10">
        <v>1</v>
      </c>
      <c r="E87" s="10"/>
      <c r="F87" s="10"/>
      <c r="G87" s="10"/>
      <c r="H87" s="4">
        <v>1</v>
      </c>
      <c r="I87" s="4">
        <v>1.5</v>
      </c>
      <c r="J87" s="4">
        <v>1.5</v>
      </c>
      <c r="K87" s="7">
        <v>0</v>
      </c>
      <c r="L87" s="7">
        <v>0</v>
      </c>
      <c r="M87" s="7">
        <v>0</v>
      </c>
      <c r="N87" s="7">
        <v>3</v>
      </c>
      <c r="O87" s="4">
        <f>W87*(1-(N87-1)/6)*(1+0.5)*(1+1)*(1+1)</f>
        <v>116</v>
      </c>
      <c r="P87" s="7">
        <f>W87/6*(1+1)*(1+1.5)*(1+1)</f>
        <v>48.3333333333333</v>
      </c>
      <c r="Q87" s="7">
        <f>W87/6*(1+1)*(1+1.5)*(1+1)</f>
        <v>48.3333333333333</v>
      </c>
      <c r="R87" s="7">
        <v>0</v>
      </c>
      <c r="S87" s="7">
        <v>0</v>
      </c>
      <c r="T87" s="7">
        <v>0</v>
      </c>
      <c r="U87" s="7">
        <f t="shared" si="44"/>
        <v>119.866666666667</v>
      </c>
      <c r="V87" s="4">
        <v>1</v>
      </c>
      <c r="W87" s="7">
        <f t="shared" si="45"/>
        <v>29</v>
      </c>
      <c r="X87" s="4">
        <f t="shared" si="41"/>
        <v>3364</v>
      </c>
      <c r="Y87" s="4">
        <f t="shared" si="42"/>
        <v>0</v>
      </c>
      <c r="Z87" s="7">
        <v>1</v>
      </c>
      <c r="AA87" s="7">
        <v>30</v>
      </c>
      <c r="AB87" s="7">
        <v>25</v>
      </c>
      <c r="AC87" s="7">
        <v>10</v>
      </c>
      <c r="AD87" s="7">
        <f t="shared" si="43"/>
        <v>104883.333333333</v>
      </c>
      <c r="AE87" s="4">
        <f t="shared" si="46"/>
        <v>2972</v>
      </c>
      <c r="AF87" s="4">
        <f t="shared" si="47"/>
        <v>2972</v>
      </c>
      <c r="AG87" s="4">
        <v>0.85</v>
      </c>
      <c r="AH87">
        <f t="shared" si="48"/>
        <v>2972</v>
      </c>
      <c r="AI87">
        <f>AI86*3</f>
        <v>14793.75</v>
      </c>
      <c r="AJ87">
        <f t="shared" si="49"/>
        <v>14794</v>
      </c>
    </row>
    <row r="88" customFormat="1" spans="1:36">
      <c r="A88" s="11">
        <v>10</v>
      </c>
      <c r="B88" s="12">
        <v>1</v>
      </c>
      <c r="C88" s="12">
        <v>1</v>
      </c>
      <c r="D88" s="12">
        <v>1</v>
      </c>
      <c r="E88" s="12"/>
      <c r="F88" s="12"/>
      <c r="G88" s="12"/>
      <c r="H88" s="4">
        <v>1.5</v>
      </c>
      <c r="I88" s="4">
        <v>1.5</v>
      </c>
      <c r="J88" s="4">
        <v>1.5</v>
      </c>
      <c r="K88" s="7">
        <v>0</v>
      </c>
      <c r="L88" s="7">
        <v>0</v>
      </c>
      <c r="M88" s="7">
        <v>0</v>
      </c>
      <c r="N88" s="7">
        <v>3</v>
      </c>
      <c r="O88" s="4">
        <f>W88*(1-(N88-1)/6)*(1+0.5)*(1+1)*(1+1)*(1+1.5)</f>
        <v>320</v>
      </c>
      <c r="P88" s="7">
        <f>W88/6*(1+1.5)*(1+1.5)*(1+1)*(1+1)</f>
        <v>133.333333333333</v>
      </c>
      <c r="Q88" s="7">
        <f>W88/6*(1+1.5)*(1+1.5)*(1+1)*(1+1)</f>
        <v>133.333333333333</v>
      </c>
      <c r="R88" s="7">
        <v>0</v>
      </c>
      <c r="S88" s="7">
        <v>0</v>
      </c>
      <c r="T88" s="7">
        <v>0</v>
      </c>
      <c r="U88" s="7">
        <f t="shared" si="44"/>
        <v>330.666666666667</v>
      </c>
      <c r="V88" s="4">
        <v>1</v>
      </c>
      <c r="W88" s="7">
        <f t="shared" si="45"/>
        <v>32</v>
      </c>
      <c r="X88" s="4">
        <f t="shared" si="41"/>
        <v>10240</v>
      </c>
      <c r="Y88" s="4">
        <f t="shared" si="42"/>
        <v>0</v>
      </c>
      <c r="Z88" s="7">
        <v>1</v>
      </c>
      <c r="AA88" s="7">
        <v>30</v>
      </c>
      <c r="AB88" s="7">
        <v>25</v>
      </c>
      <c r="AC88" s="7">
        <v>10</v>
      </c>
      <c r="AD88" s="7">
        <f t="shared" si="43"/>
        <v>289333.333333333</v>
      </c>
      <c r="AE88" s="4">
        <f t="shared" si="46"/>
        <v>8198</v>
      </c>
      <c r="AF88" s="4">
        <f t="shared" si="47"/>
        <v>8198</v>
      </c>
      <c r="AG88" s="4">
        <v>0.85</v>
      </c>
      <c r="AH88">
        <f t="shared" si="48"/>
        <v>8198</v>
      </c>
      <c r="AI88">
        <f>AI87*3</f>
        <v>44381.25</v>
      </c>
      <c r="AJ88">
        <f t="shared" si="49"/>
        <v>44381</v>
      </c>
    </row>
    <row r="89" customFormat="1" spans="1:36">
      <c r="A89" s="9">
        <v>11</v>
      </c>
      <c r="B89" s="10">
        <v>1</v>
      </c>
      <c r="C89" s="10">
        <v>1</v>
      </c>
      <c r="D89" s="10">
        <v>1</v>
      </c>
      <c r="E89" s="10"/>
      <c r="F89" s="10"/>
      <c r="G89" s="10"/>
      <c r="H89" s="4">
        <v>1.5</v>
      </c>
      <c r="I89" s="4">
        <v>4</v>
      </c>
      <c r="J89" s="4">
        <v>1.5</v>
      </c>
      <c r="K89" s="7">
        <v>0</v>
      </c>
      <c r="L89" s="7">
        <v>0</v>
      </c>
      <c r="M89" s="7">
        <v>0</v>
      </c>
      <c r="N89" s="7">
        <v>3</v>
      </c>
      <c r="O89" s="4">
        <f>W89*(1-(N89-1)/6)*(1+0.5)*(1+1)*(1+1)*(1+1.5)*(1+1.5)</f>
        <v>875</v>
      </c>
      <c r="P89" s="7">
        <f>W89/6*(1+1.5)*(1+1.5)*(1+4)*(1+1)*(1+1)</f>
        <v>729.166666666667</v>
      </c>
      <c r="Q89" s="7">
        <f>W89/6*(1+1.5)*(1+1.5)*(1+1)*(1+1)*(1+1.5)</f>
        <v>364.583333333333</v>
      </c>
      <c r="R89" s="7">
        <v>0</v>
      </c>
      <c r="S89" s="7">
        <v>0</v>
      </c>
      <c r="T89" s="7">
        <v>0</v>
      </c>
      <c r="U89" s="7">
        <f t="shared" si="44"/>
        <v>1268.75</v>
      </c>
      <c r="V89" s="4">
        <v>1</v>
      </c>
      <c r="W89" s="7">
        <f t="shared" si="45"/>
        <v>35</v>
      </c>
      <c r="X89" s="4">
        <f t="shared" si="41"/>
        <v>30625</v>
      </c>
      <c r="Y89" s="4">
        <f t="shared" si="42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43"/>
        <v>1110156.25</v>
      </c>
      <c r="AE89" s="4">
        <f t="shared" si="46"/>
        <v>33305</v>
      </c>
      <c r="AF89" s="4">
        <f t="shared" si="47"/>
        <v>33305</v>
      </c>
      <c r="AG89" s="4">
        <v>0.9</v>
      </c>
      <c r="AH89">
        <f t="shared" si="48"/>
        <v>33305</v>
      </c>
      <c r="AI89">
        <f>AI88*3</f>
        <v>133143.75</v>
      </c>
      <c r="AJ89">
        <f t="shared" si="49"/>
        <v>133144</v>
      </c>
    </row>
    <row r="90" customFormat="1" spans="1:36">
      <c r="A90" s="9">
        <v>12</v>
      </c>
      <c r="B90" s="10">
        <v>1</v>
      </c>
      <c r="C90" s="10">
        <v>1</v>
      </c>
      <c r="D90" s="10">
        <v>1</v>
      </c>
      <c r="E90" s="10"/>
      <c r="F90" s="10"/>
      <c r="G90" s="10"/>
      <c r="H90" s="4">
        <v>1.5</v>
      </c>
      <c r="I90" s="4">
        <v>4</v>
      </c>
      <c r="J90" s="7">
        <v>4</v>
      </c>
      <c r="K90" s="7">
        <v>0</v>
      </c>
      <c r="L90" s="7">
        <v>0</v>
      </c>
      <c r="M90" s="7">
        <v>0</v>
      </c>
      <c r="N90" s="7">
        <v>3</v>
      </c>
      <c r="O90" s="4">
        <f>W90*(1-(N90-1)/6)*(1+0.5)*(1+1)*(1+1)*(1+1.5)*(1+1.5)*(1+1.5)</f>
        <v>2375</v>
      </c>
      <c r="P90" s="7">
        <f>W90/6*(1+1.5)*(1+1.5)*(1+1)*(1+1)*(1+4)*(1+4)</f>
        <v>3958.33333333333</v>
      </c>
      <c r="Q90" s="7">
        <f>W90/6*(1+1.5)*(1+1.5)*(1+1)*(1+1)*(1+4)*(1+1.5)</f>
        <v>1979.16666666667</v>
      </c>
      <c r="R90" s="7">
        <v>0</v>
      </c>
      <c r="S90" s="7">
        <v>0</v>
      </c>
      <c r="T90" s="7">
        <v>0</v>
      </c>
      <c r="U90" s="7">
        <f t="shared" si="44"/>
        <v>6412.5</v>
      </c>
      <c r="V90" s="4">
        <v>1</v>
      </c>
      <c r="W90" s="7">
        <f t="shared" si="45"/>
        <v>38</v>
      </c>
      <c r="X90" s="4">
        <f t="shared" si="41"/>
        <v>90250</v>
      </c>
      <c r="Y90" s="4">
        <f t="shared" si="42"/>
        <v>0</v>
      </c>
      <c r="Z90" s="7">
        <v>1</v>
      </c>
      <c r="AA90" s="7">
        <v>40</v>
      </c>
      <c r="AB90" s="7">
        <v>25</v>
      </c>
      <c r="AC90" s="7">
        <v>10</v>
      </c>
      <c r="AD90" s="7">
        <f t="shared" si="43"/>
        <v>5610937.5</v>
      </c>
      <c r="AE90" s="4">
        <f t="shared" si="46"/>
        <v>140273</v>
      </c>
      <c r="AF90" s="4">
        <f t="shared" si="47"/>
        <v>140273</v>
      </c>
      <c r="AG90" s="4">
        <v>1</v>
      </c>
      <c r="AH90">
        <f t="shared" si="48"/>
        <v>140273</v>
      </c>
      <c r="AI90">
        <f>AH90</f>
        <v>140273</v>
      </c>
      <c r="AJ90">
        <f t="shared" si="49"/>
        <v>140273</v>
      </c>
    </row>
    <row r="91" customFormat="1" spans="1:32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</v>
      </c>
      <c r="K91" s="7">
        <v>0</v>
      </c>
      <c r="L91" s="7">
        <v>0</v>
      </c>
      <c r="M91" s="7">
        <v>0</v>
      </c>
      <c r="N91" s="7">
        <v>3</v>
      </c>
      <c r="O91" s="4">
        <f t="shared" ref="O89:O100" si="50">W91/N91*(1+1)*(1+0.5)</f>
        <v>0</v>
      </c>
      <c r="P91" s="7">
        <f t="shared" ref="P91:P102" si="51">W91/N91*(1+0.5)*(1+0.5)</f>
        <v>0</v>
      </c>
      <c r="Q91" s="7">
        <f>W91/N91*(1+0.5)</f>
        <v>0</v>
      </c>
      <c r="R91" s="7">
        <v>0</v>
      </c>
      <c r="S91" s="7">
        <v>0</v>
      </c>
      <c r="T91" s="7">
        <v>0</v>
      </c>
      <c r="U91" s="7">
        <f t="shared" si="44"/>
        <v>0</v>
      </c>
      <c r="V91" s="4">
        <v>1</v>
      </c>
      <c r="W91" s="7">
        <f t="shared" ref="W79:W108" si="52">F14</f>
        <v>0</v>
      </c>
      <c r="X91" s="4">
        <f t="shared" si="41"/>
        <v>0</v>
      </c>
      <c r="Y91" s="4">
        <f t="shared" si="42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43"/>
        <v>0</v>
      </c>
      <c r="AE91" s="4">
        <f t="shared" ref="AE79:AE108" si="53">ROUND(AD91/AA91*V91,0)</f>
        <v>0</v>
      </c>
      <c r="AF91" s="4">
        <f>ROUND(AD91/AA91*V91*0.9,0)</f>
        <v>0</v>
      </c>
    </row>
    <row r="92" customFormat="1" spans="1:32">
      <c r="A92" s="9">
        <v>14</v>
      </c>
      <c r="B92" s="10"/>
      <c r="C92" s="10"/>
      <c r="D92" s="10"/>
      <c r="E92" s="10"/>
      <c r="F92" s="10"/>
      <c r="G92" s="10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3</v>
      </c>
      <c r="O92" s="4">
        <f t="shared" si="50"/>
        <v>0</v>
      </c>
      <c r="P92" s="7">
        <f t="shared" si="51"/>
        <v>0</v>
      </c>
      <c r="Q92" s="7">
        <f>W92/N92*(1+0.5)</f>
        <v>0</v>
      </c>
      <c r="R92" s="7">
        <v>0</v>
      </c>
      <c r="S92" s="7">
        <v>0</v>
      </c>
      <c r="T92" s="7">
        <v>0</v>
      </c>
      <c r="U92" s="7">
        <f t="shared" si="44"/>
        <v>0</v>
      </c>
      <c r="V92" s="4">
        <v>1</v>
      </c>
      <c r="W92" s="7">
        <f t="shared" si="52"/>
        <v>0</v>
      </c>
      <c r="X92" s="4">
        <f t="shared" si="41"/>
        <v>0</v>
      </c>
      <c r="Y92" s="4">
        <f t="shared" si="42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43"/>
        <v>0</v>
      </c>
      <c r="AE92" s="4">
        <f t="shared" si="53"/>
        <v>0</v>
      </c>
      <c r="AF92" s="4">
        <f>ROUND(AD92/AA92*V92*0.95,0)</f>
        <v>0</v>
      </c>
    </row>
    <row r="93" customFormat="1" spans="1:32">
      <c r="A93" s="9">
        <v>15</v>
      </c>
      <c r="B93" s="10"/>
      <c r="C93" s="10"/>
      <c r="D93" s="16"/>
      <c r="E93" s="10"/>
      <c r="F93" s="10"/>
      <c r="G93" s="10"/>
      <c r="H93" s="4"/>
      <c r="I93" s="4"/>
      <c r="J93" s="7">
        <v>0.5</v>
      </c>
      <c r="K93" s="7">
        <v>0</v>
      </c>
      <c r="L93" s="7">
        <v>0</v>
      </c>
      <c r="M93" s="7">
        <v>0</v>
      </c>
      <c r="N93" s="7">
        <v>3</v>
      </c>
      <c r="O93" s="4">
        <f t="shared" si="50"/>
        <v>0</v>
      </c>
      <c r="P93" s="7">
        <f t="shared" si="51"/>
        <v>0</v>
      </c>
      <c r="Q93" s="7">
        <f t="shared" ref="Q93:Q102" si="54">W93/N93*(1+0.5)*(1+0.5)</f>
        <v>0</v>
      </c>
      <c r="R93" s="7">
        <v>0</v>
      </c>
      <c r="S93" s="7">
        <v>0</v>
      </c>
      <c r="T93" s="7">
        <v>0</v>
      </c>
      <c r="U93" s="7">
        <f t="shared" si="44"/>
        <v>0</v>
      </c>
      <c r="V93" s="4">
        <v>1.1</v>
      </c>
      <c r="W93" s="7">
        <f t="shared" si="52"/>
        <v>0</v>
      </c>
      <c r="X93" s="4">
        <f t="shared" si="41"/>
        <v>0</v>
      </c>
      <c r="Y93" s="4">
        <f t="shared" si="4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43"/>
        <v>0</v>
      </c>
      <c r="AE93" s="4">
        <f t="shared" si="53"/>
        <v>0</v>
      </c>
      <c r="AF93" s="4">
        <f t="shared" ref="AF93:AF98" si="55">ROUND(AD93/AA93*V93,0)</f>
        <v>0</v>
      </c>
    </row>
    <row r="94" customFormat="1" spans="1:32">
      <c r="A94" s="9">
        <v>16</v>
      </c>
      <c r="B94" s="10"/>
      <c r="C94" s="10"/>
      <c r="D94" s="10"/>
      <c r="E94" s="10"/>
      <c r="F94" s="10"/>
      <c r="G94" s="10"/>
      <c r="I94" s="4"/>
      <c r="J94" s="7">
        <v>0</v>
      </c>
      <c r="K94" s="7">
        <v>0</v>
      </c>
      <c r="L94" s="7">
        <v>0</v>
      </c>
      <c r="M94" s="7">
        <v>0</v>
      </c>
      <c r="N94" s="7">
        <v>3</v>
      </c>
      <c r="O94" s="4">
        <f t="shared" si="50"/>
        <v>0</v>
      </c>
      <c r="P94" s="7">
        <f t="shared" si="51"/>
        <v>0</v>
      </c>
      <c r="Q94" s="7">
        <f t="shared" si="54"/>
        <v>0</v>
      </c>
      <c r="R94" s="7">
        <v>0</v>
      </c>
      <c r="S94" s="7">
        <v>0</v>
      </c>
      <c r="T94" s="7">
        <v>0</v>
      </c>
      <c r="U94" s="7">
        <f t="shared" si="44"/>
        <v>0</v>
      </c>
      <c r="V94" s="4">
        <v>1.1</v>
      </c>
      <c r="W94" s="7">
        <f t="shared" si="52"/>
        <v>0</v>
      </c>
      <c r="X94" s="4">
        <f t="shared" si="41"/>
        <v>0</v>
      </c>
      <c r="Y94" s="4">
        <f t="shared" si="4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43"/>
        <v>0</v>
      </c>
      <c r="AE94" s="4">
        <f t="shared" si="53"/>
        <v>0</v>
      </c>
      <c r="AF94" s="4">
        <f t="shared" si="55"/>
        <v>0</v>
      </c>
    </row>
    <row r="95" customFormat="1" spans="1:32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</v>
      </c>
      <c r="K95" s="7">
        <v>0</v>
      </c>
      <c r="L95" s="7">
        <v>0</v>
      </c>
      <c r="M95" s="7">
        <v>0</v>
      </c>
      <c r="N95" s="7">
        <v>3</v>
      </c>
      <c r="O95" s="4">
        <f t="shared" si="50"/>
        <v>0</v>
      </c>
      <c r="P95" s="7">
        <f t="shared" si="51"/>
        <v>0</v>
      </c>
      <c r="Q95" s="7">
        <f t="shared" si="54"/>
        <v>0</v>
      </c>
      <c r="R95" s="7">
        <v>0</v>
      </c>
      <c r="S95" s="7">
        <v>0</v>
      </c>
      <c r="T95" s="7">
        <v>0</v>
      </c>
      <c r="U95" s="7">
        <f t="shared" si="44"/>
        <v>0</v>
      </c>
      <c r="V95" s="4">
        <v>1.1</v>
      </c>
      <c r="W95" s="7">
        <f t="shared" si="52"/>
        <v>0</v>
      </c>
      <c r="X95" s="4">
        <f t="shared" si="41"/>
        <v>0</v>
      </c>
      <c r="Y95" s="4">
        <f t="shared" si="4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43"/>
        <v>0</v>
      </c>
      <c r="AE95" s="4">
        <f t="shared" si="53"/>
        <v>0</v>
      </c>
      <c r="AF95" s="4">
        <f t="shared" si="55"/>
        <v>0</v>
      </c>
    </row>
    <row r="96" customFormat="1" spans="1:32">
      <c r="A96" s="9">
        <v>18</v>
      </c>
      <c r="B96" s="10"/>
      <c r="C96" s="10"/>
      <c r="D96" s="10"/>
      <c r="E96" s="10"/>
      <c r="F96" s="10"/>
      <c r="G96" s="10"/>
      <c r="I96" s="4"/>
      <c r="J96" s="7">
        <v>0</v>
      </c>
      <c r="K96" s="7">
        <v>0</v>
      </c>
      <c r="L96" s="7">
        <v>0</v>
      </c>
      <c r="M96" s="7">
        <v>0</v>
      </c>
      <c r="N96" s="7">
        <v>3</v>
      </c>
      <c r="O96" s="4">
        <f t="shared" si="50"/>
        <v>0</v>
      </c>
      <c r="P96" s="7">
        <f t="shared" si="51"/>
        <v>0</v>
      </c>
      <c r="Q96" s="7">
        <f t="shared" si="54"/>
        <v>0</v>
      </c>
      <c r="R96" s="7">
        <v>0</v>
      </c>
      <c r="S96" s="7">
        <v>0</v>
      </c>
      <c r="T96" s="7">
        <v>0</v>
      </c>
      <c r="U96" s="7">
        <f t="shared" si="44"/>
        <v>0</v>
      </c>
      <c r="V96" s="4">
        <v>1.1</v>
      </c>
      <c r="W96" s="7">
        <f t="shared" si="52"/>
        <v>0</v>
      </c>
      <c r="X96" s="4">
        <f t="shared" si="41"/>
        <v>0</v>
      </c>
      <c r="Y96" s="4">
        <f t="shared" si="4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43"/>
        <v>0</v>
      </c>
      <c r="AE96" s="4">
        <f t="shared" si="53"/>
        <v>0</v>
      </c>
      <c r="AF96" s="4">
        <f t="shared" si="55"/>
        <v>0</v>
      </c>
    </row>
    <row r="97" customFormat="1" spans="1:32">
      <c r="A97" s="9">
        <v>19</v>
      </c>
      <c r="B97" s="10"/>
      <c r="C97" s="16"/>
      <c r="D97" s="16"/>
      <c r="E97" s="10"/>
      <c r="F97" s="10"/>
      <c r="G97" s="10"/>
      <c r="H97" s="4"/>
      <c r="I97" s="4"/>
      <c r="J97" s="7">
        <v>0</v>
      </c>
      <c r="K97" s="7">
        <v>0</v>
      </c>
      <c r="L97" s="7">
        <v>0</v>
      </c>
      <c r="M97" s="7">
        <v>0</v>
      </c>
      <c r="N97" s="7">
        <v>3</v>
      </c>
      <c r="O97" s="4">
        <f t="shared" si="50"/>
        <v>0</v>
      </c>
      <c r="P97" s="7">
        <f t="shared" si="51"/>
        <v>0</v>
      </c>
      <c r="Q97" s="7">
        <f t="shared" si="54"/>
        <v>0</v>
      </c>
      <c r="R97" s="7">
        <v>0</v>
      </c>
      <c r="S97" s="7">
        <v>0</v>
      </c>
      <c r="T97" s="7">
        <v>0</v>
      </c>
      <c r="U97" s="7">
        <f t="shared" si="44"/>
        <v>0</v>
      </c>
      <c r="V97" s="4">
        <v>1.1</v>
      </c>
      <c r="W97" s="7">
        <f t="shared" si="52"/>
        <v>0</v>
      </c>
      <c r="X97" s="4">
        <f t="shared" si="41"/>
        <v>0</v>
      </c>
      <c r="Y97" s="4">
        <f t="shared" si="4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43"/>
        <v>0</v>
      </c>
      <c r="AE97" s="4">
        <f t="shared" si="53"/>
        <v>0</v>
      </c>
      <c r="AF97" s="4">
        <f t="shared" si="55"/>
        <v>0</v>
      </c>
    </row>
    <row r="98" customFormat="1" spans="1:32">
      <c r="A98" s="9">
        <v>20</v>
      </c>
      <c r="B98" s="10"/>
      <c r="C98" s="10"/>
      <c r="D98" s="10"/>
      <c r="E98" s="10"/>
      <c r="F98" s="10"/>
      <c r="G98" s="10"/>
      <c r="H98" s="4"/>
      <c r="I98" s="4"/>
      <c r="J98" s="7">
        <v>0</v>
      </c>
      <c r="K98" s="7">
        <v>0</v>
      </c>
      <c r="L98" s="7">
        <v>0</v>
      </c>
      <c r="M98" s="7">
        <v>0</v>
      </c>
      <c r="N98" s="7">
        <v>3</v>
      </c>
      <c r="O98" s="4">
        <f>W98*(1-(N98-1)/6)*2</f>
        <v>0</v>
      </c>
      <c r="P98" s="7">
        <f>W98/6*300</f>
        <v>0</v>
      </c>
      <c r="Q98" s="7">
        <f>W98/6*200</f>
        <v>0</v>
      </c>
      <c r="R98" s="7">
        <v>0</v>
      </c>
      <c r="S98" s="7">
        <v>0</v>
      </c>
      <c r="T98" s="7">
        <v>0</v>
      </c>
      <c r="U98" s="7">
        <f t="shared" si="44"/>
        <v>0</v>
      </c>
      <c r="V98" s="4">
        <v>1.2</v>
      </c>
      <c r="W98" s="7">
        <f>C21</f>
        <v>0</v>
      </c>
      <c r="X98" s="4">
        <f t="shared" si="41"/>
        <v>0</v>
      </c>
      <c r="Y98" s="4">
        <f t="shared" si="4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43"/>
        <v>0</v>
      </c>
      <c r="AE98" s="4">
        <f t="shared" si="53"/>
        <v>0</v>
      </c>
      <c r="AF98" s="4">
        <f t="shared" si="55"/>
        <v>0</v>
      </c>
    </row>
    <row r="99" spans="1:32">
      <c r="A99" s="9">
        <v>21</v>
      </c>
      <c r="B99" s="10"/>
      <c r="C99" s="10"/>
      <c r="D99" s="10"/>
      <c r="E99" s="13"/>
      <c r="F99" s="13"/>
      <c r="G99" s="10"/>
      <c r="H99" s="4"/>
      <c r="I99" s="4"/>
      <c r="J99" s="7">
        <v>0</v>
      </c>
      <c r="K99" s="7">
        <v>0</v>
      </c>
      <c r="L99" s="7">
        <v>0</v>
      </c>
      <c r="M99" s="7">
        <v>0</v>
      </c>
      <c r="N99" s="7">
        <v>3</v>
      </c>
      <c r="O99" s="4">
        <f t="shared" si="50"/>
        <v>0</v>
      </c>
      <c r="P99" s="7">
        <f t="shared" si="51"/>
        <v>0</v>
      </c>
      <c r="Q99" s="7">
        <f t="shared" si="54"/>
        <v>0</v>
      </c>
      <c r="R99" s="7">
        <v>0</v>
      </c>
      <c r="S99" s="7">
        <v>0</v>
      </c>
      <c r="T99" s="7">
        <v>0</v>
      </c>
      <c r="U99" s="7">
        <f t="shared" si="44"/>
        <v>0</v>
      </c>
      <c r="V99" s="4">
        <v>1.2</v>
      </c>
      <c r="W99" s="7">
        <f t="shared" si="52"/>
        <v>0</v>
      </c>
      <c r="X99" s="4">
        <f t="shared" si="41"/>
        <v>0</v>
      </c>
      <c r="Y99" s="4">
        <f t="shared" si="4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43"/>
        <v>0</v>
      </c>
      <c r="AE99" s="4">
        <f t="shared" si="53"/>
        <v>0</v>
      </c>
      <c r="AF99" s="7">
        <f t="shared" ref="AF99:AF108" si="56">ROUND(AD99/AA99*V99*0.8,0)</f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3</v>
      </c>
      <c r="O100" s="4">
        <f t="shared" si="50"/>
        <v>0</v>
      </c>
      <c r="P100" s="7">
        <f t="shared" si="51"/>
        <v>0</v>
      </c>
      <c r="Q100" s="7">
        <f t="shared" si="54"/>
        <v>0</v>
      </c>
      <c r="R100" s="7">
        <v>0</v>
      </c>
      <c r="S100" s="7">
        <v>0</v>
      </c>
      <c r="T100" s="7">
        <v>0</v>
      </c>
      <c r="U100" s="7">
        <f t="shared" si="44"/>
        <v>0</v>
      </c>
      <c r="V100" s="4">
        <v>1.2</v>
      </c>
      <c r="W100" s="7">
        <f t="shared" si="52"/>
        <v>0</v>
      </c>
      <c r="X100" s="4">
        <f t="shared" si="41"/>
        <v>0</v>
      </c>
      <c r="Y100" s="4">
        <f t="shared" si="4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43"/>
        <v>0</v>
      </c>
      <c r="AE100" s="4">
        <f t="shared" si="53"/>
        <v>0</v>
      </c>
      <c r="AF100" s="7">
        <f t="shared" si="56"/>
        <v>0</v>
      </c>
    </row>
    <row r="101" spans="1:32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>
        <v>0</v>
      </c>
      <c r="K101" s="7">
        <v>0</v>
      </c>
      <c r="L101" s="7">
        <v>0</v>
      </c>
      <c r="M101" s="7">
        <v>0</v>
      </c>
      <c r="N101" s="7">
        <v>3</v>
      </c>
      <c r="O101" s="4">
        <f t="shared" ref="O101:O108" si="57">W101/N101*(1+1)*(1+1.5)</f>
        <v>0</v>
      </c>
      <c r="P101" s="7">
        <f t="shared" si="51"/>
        <v>0</v>
      </c>
      <c r="Q101" s="7">
        <f t="shared" si="54"/>
        <v>0</v>
      </c>
      <c r="R101" s="7">
        <v>0</v>
      </c>
      <c r="S101" s="7">
        <v>0</v>
      </c>
      <c r="T101" s="7">
        <v>0</v>
      </c>
      <c r="U101" s="7">
        <f t="shared" si="44"/>
        <v>0</v>
      </c>
      <c r="V101" s="4">
        <v>1.2</v>
      </c>
      <c r="W101" s="7">
        <f t="shared" si="52"/>
        <v>0</v>
      </c>
      <c r="X101" s="4">
        <f t="shared" si="41"/>
        <v>0</v>
      </c>
      <c r="Y101" s="4">
        <f t="shared" si="4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43"/>
        <v>0</v>
      </c>
      <c r="AE101" s="4">
        <f t="shared" si="53"/>
        <v>0</v>
      </c>
      <c r="AF101" s="7">
        <f t="shared" si="56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3</v>
      </c>
      <c r="O102" s="4">
        <f t="shared" si="57"/>
        <v>0</v>
      </c>
      <c r="P102" s="7">
        <f t="shared" si="51"/>
        <v>0</v>
      </c>
      <c r="Q102" s="7">
        <f t="shared" si="54"/>
        <v>0</v>
      </c>
      <c r="R102" s="7">
        <v>0</v>
      </c>
      <c r="S102" s="7">
        <v>0</v>
      </c>
      <c r="T102" s="7">
        <v>0</v>
      </c>
      <c r="U102" s="7">
        <f t="shared" si="44"/>
        <v>0</v>
      </c>
      <c r="V102" s="4">
        <v>1.2</v>
      </c>
      <c r="W102" s="7">
        <f t="shared" si="52"/>
        <v>0</v>
      </c>
      <c r="X102" s="4">
        <f t="shared" si="41"/>
        <v>0</v>
      </c>
      <c r="Y102" s="4">
        <f t="shared" si="4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43"/>
        <v>0</v>
      </c>
      <c r="AE102" s="4">
        <f t="shared" si="53"/>
        <v>0</v>
      </c>
      <c r="AF102" s="7">
        <f t="shared" si="56"/>
        <v>0</v>
      </c>
    </row>
    <row r="103" spans="1:32">
      <c r="A103" s="9">
        <v>25</v>
      </c>
      <c r="B103" s="10"/>
      <c r="C103" s="10"/>
      <c r="D103" s="10"/>
      <c r="E103" s="9"/>
      <c r="F103" s="9"/>
      <c r="G103" s="9"/>
      <c r="H103" s="4"/>
      <c r="I103" s="4"/>
      <c r="J103" s="7">
        <v>0.5</v>
      </c>
      <c r="K103" s="7">
        <v>0</v>
      </c>
      <c r="L103" s="7">
        <v>0</v>
      </c>
      <c r="M103" s="7">
        <v>0</v>
      </c>
      <c r="N103" s="7">
        <v>3</v>
      </c>
      <c r="O103" s="4">
        <f t="shared" si="57"/>
        <v>0</v>
      </c>
      <c r="P103" s="7">
        <f t="shared" ref="P103:P108" si="58">W103/N103*(1+1)*(1+0.5)</f>
        <v>0</v>
      </c>
      <c r="Q103" s="7">
        <f t="shared" ref="Q103:Q108" si="59">W103/N103*(1+1)*(1+0.5)</f>
        <v>0</v>
      </c>
      <c r="R103" s="7">
        <v>0</v>
      </c>
      <c r="S103" s="7">
        <v>0</v>
      </c>
      <c r="T103" s="7">
        <v>0</v>
      </c>
      <c r="U103" s="7">
        <f t="shared" si="44"/>
        <v>0</v>
      </c>
      <c r="V103" s="4">
        <v>1.3</v>
      </c>
      <c r="W103" s="7">
        <f t="shared" si="52"/>
        <v>0</v>
      </c>
      <c r="X103" s="4">
        <f t="shared" si="41"/>
        <v>0</v>
      </c>
      <c r="Y103" s="4">
        <f t="shared" si="4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43"/>
        <v>0</v>
      </c>
      <c r="AE103" s="4">
        <f t="shared" si="53"/>
        <v>0</v>
      </c>
      <c r="AF103" s="7">
        <f t="shared" si="56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3</v>
      </c>
      <c r="O104" s="4">
        <f t="shared" si="57"/>
        <v>0</v>
      </c>
      <c r="P104" s="7">
        <f t="shared" si="58"/>
        <v>0</v>
      </c>
      <c r="Q104" s="7">
        <f t="shared" si="59"/>
        <v>0</v>
      </c>
      <c r="R104" s="7">
        <v>0</v>
      </c>
      <c r="S104" s="7">
        <v>0</v>
      </c>
      <c r="T104" s="7">
        <v>0</v>
      </c>
      <c r="U104" s="7">
        <f t="shared" si="44"/>
        <v>0</v>
      </c>
      <c r="V104" s="4">
        <v>1.3</v>
      </c>
      <c r="W104" s="7">
        <f t="shared" si="52"/>
        <v>0</v>
      </c>
      <c r="X104" s="4">
        <f t="shared" si="41"/>
        <v>0</v>
      </c>
      <c r="Y104" s="4">
        <f t="shared" si="4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43"/>
        <v>0</v>
      </c>
      <c r="AE104" s="4">
        <f t="shared" si="53"/>
        <v>0</v>
      </c>
      <c r="AF104" s="7">
        <f t="shared" si="56"/>
        <v>0</v>
      </c>
    </row>
    <row r="105" spans="1:32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>
        <v>0</v>
      </c>
      <c r="K105" s="7">
        <v>0</v>
      </c>
      <c r="L105" s="7">
        <v>0</v>
      </c>
      <c r="M105" s="7">
        <v>0</v>
      </c>
      <c r="N105" s="7">
        <v>3</v>
      </c>
      <c r="O105" s="4">
        <f t="shared" si="57"/>
        <v>0</v>
      </c>
      <c r="P105" s="7">
        <f t="shared" si="58"/>
        <v>0</v>
      </c>
      <c r="Q105" s="7">
        <f t="shared" si="59"/>
        <v>0</v>
      </c>
      <c r="R105" s="7">
        <v>0</v>
      </c>
      <c r="S105" s="7">
        <v>0</v>
      </c>
      <c r="T105" s="7">
        <v>0</v>
      </c>
      <c r="U105" s="7">
        <f t="shared" si="44"/>
        <v>0</v>
      </c>
      <c r="V105" s="4">
        <v>1.3</v>
      </c>
      <c r="W105" s="7">
        <f t="shared" si="52"/>
        <v>0</v>
      </c>
      <c r="X105" s="4">
        <f t="shared" si="41"/>
        <v>0</v>
      </c>
      <c r="Y105" s="4">
        <f t="shared" si="4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43"/>
        <v>0</v>
      </c>
      <c r="AE105" s="4">
        <f t="shared" si="53"/>
        <v>0</v>
      </c>
      <c r="AF105" s="7">
        <f t="shared" si="56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3</v>
      </c>
      <c r="O106" s="4">
        <f t="shared" si="57"/>
        <v>0</v>
      </c>
      <c r="P106" s="7">
        <f t="shared" si="58"/>
        <v>0</v>
      </c>
      <c r="Q106" s="7">
        <f t="shared" si="59"/>
        <v>0</v>
      </c>
      <c r="R106" s="7">
        <v>0</v>
      </c>
      <c r="S106" s="7">
        <v>0</v>
      </c>
      <c r="T106" s="7">
        <v>0</v>
      </c>
      <c r="U106" s="7">
        <f t="shared" si="44"/>
        <v>0</v>
      </c>
      <c r="V106" s="4">
        <v>1.3</v>
      </c>
      <c r="W106" s="7">
        <f t="shared" si="52"/>
        <v>0</v>
      </c>
      <c r="X106" s="4">
        <f t="shared" si="41"/>
        <v>0</v>
      </c>
      <c r="Y106" s="4">
        <f t="shared" si="4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43"/>
        <v>0</v>
      </c>
      <c r="AE106" s="4">
        <f t="shared" si="53"/>
        <v>0</v>
      </c>
      <c r="AF106" s="7">
        <f t="shared" si="56"/>
        <v>0</v>
      </c>
    </row>
    <row r="107" spans="1:32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>
        <v>0</v>
      </c>
      <c r="K107" s="7">
        <v>0</v>
      </c>
      <c r="L107" s="7">
        <v>0</v>
      </c>
      <c r="M107" s="7">
        <v>0</v>
      </c>
      <c r="N107" s="7">
        <v>3</v>
      </c>
      <c r="O107" s="4">
        <f t="shared" si="57"/>
        <v>0</v>
      </c>
      <c r="P107" s="7">
        <f t="shared" si="58"/>
        <v>0</v>
      </c>
      <c r="Q107" s="7">
        <f t="shared" si="59"/>
        <v>0</v>
      </c>
      <c r="R107" s="7">
        <v>0</v>
      </c>
      <c r="S107" s="7">
        <v>0</v>
      </c>
      <c r="T107" s="7">
        <v>0</v>
      </c>
      <c r="U107" s="7">
        <f t="shared" si="44"/>
        <v>0</v>
      </c>
      <c r="V107" s="4">
        <v>1.3</v>
      </c>
      <c r="W107" s="7">
        <f t="shared" si="52"/>
        <v>0</v>
      </c>
      <c r="X107" s="4">
        <f t="shared" si="41"/>
        <v>0</v>
      </c>
      <c r="Y107" s="4">
        <f t="shared" si="4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43"/>
        <v>0</v>
      </c>
      <c r="AE107" s="4">
        <f t="shared" si="53"/>
        <v>0</v>
      </c>
      <c r="AF107" s="7">
        <f t="shared" si="56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3</v>
      </c>
      <c r="O108" s="4">
        <f>W108/N108*500</f>
        <v>0</v>
      </c>
      <c r="P108" s="7">
        <f>W108/N108*160</f>
        <v>0</v>
      </c>
      <c r="Q108" s="7">
        <f>W108/N108*80</f>
        <v>0</v>
      </c>
      <c r="R108" s="7">
        <v>0</v>
      </c>
      <c r="S108" s="7">
        <v>0</v>
      </c>
      <c r="T108" s="7">
        <v>0</v>
      </c>
      <c r="U108" s="7">
        <f t="shared" si="44"/>
        <v>0</v>
      </c>
      <c r="V108" s="4">
        <v>1.4</v>
      </c>
      <c r="W108" s="7">
        <f t="shared" si="52"/>
        <v>0</v>
      </c>
      <c r="X108" s="4">
        <f t="shared" si="41"/>
        <v>0</v>
      </c>
      <c r="Y108" s="4">
        <f t="shared" si="4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43"/>
        <v>0</v>
      </c>
      <c r="AE108" s="4">
        <f t="shared" si="53"/>
        <v>0</v>
      </c>
      <c r="AF108" s="7">
        <f t="shared" si="56"/>
        <v>0</v>
      </c>
    </row>
    <row r="109" spans="2:7">
      <c r="B109">
        <f t="shared" ref="B109:G109" si="60">SUM(B79:B108)</f>
        <v>6</v>
      </c>
      <c r="C109">
        <f t="shared" si="60"/>
        <v>6</v>
      </c>
      <c r="D109">
        <f t="shared" si="60"/>
        <v>6</v>
      </c>
      <c r="E109">
        <f t="shared" si="60"/>
        <v>0</v>
      </c>
      <c r="F109">
        <f t="shared" si="60"/>
        <v>0</v>
      </c>
      <c r="G109">
        <f t="shared" si="60"/>
        <v>0</v>
      </c>
    </row>
    <row r="110" spans="2:9">
      <c r="B110">
        <f>SUM(B109:G109)</f>
        <v>18</v>
      </c>
      <c r="I110">
        <v>6</v>
      </c>
    </row>
    <row r="111" spans="2:2">
      <c r="B111">
        <v>27</v>
      </c>
    </row>
    <row r="113" spans="2:37">
      <c r="B113" s="7" t="s">
        <v>324</v>
      </c>
      <c r="C113" s="4">
        <v>8</v>
      </c>
      <c r="E113">
        <f>C113-2</f>
        <v>6</v>
      </c>
      <c r="G113">
        <v>4</v>
      </c>
      <c r="I113" t="s">
        <v>622</v>
      </c>
      <c r="N113" s="4">
        <v>1</v>
      </c>
      <c r="O113" s="4">
        <v>4</v>
      </c>
      <c r="P113" s="4" t="s">
        <v>623</v>
      </c>
      <c r="Q113" s="4">
        <v>1</v>
      </c>
      <c r="R113" s="4">
        <v>2</v>
      </c>
      <c r="S113" s="7">
        <v>3</v>
      </c>
      <c r="T113" s="7">
        <v>4</v>
      </c>
      <c r="U113" s="7">
        <v>5</v>
      </c>
      <c r="V113" s="7">
        <v>6</v>
      </c>
      <c r="W113" s="7">
        <v>7</v>
      </c>
      <c r="X113" s="7">
        <v>8</v>
      </c>
      <c r="Y113" s="7">
        <v>9</v>
      </c>
      <c r="Z113" s="7">
        <v>10</v>
      </c>
      <c r="AA113" s="7">
        <v>11</v>
      </c>
      <c r="AB113" s="7">
        <v>12</v>
      </c>
      <c r="AC113" s="7">
        <v>13</v>
      </c>
      <c r="AD113" s="7">
        <v>14</v>
      </c>
      <c r="AE113" s="7">
        <v>15</v>
      </c>
      <c r="AF113" s="7">
        <v>16</v>
      </c>
      <c r="AG113" s="7">
        <v>17</v>
      </c>
      <c r="AH113" s="7">
        <v>18</v>
      </c>
      <c r="AI113" s="7">
        <v>19</v>
      </c>
      <c r="AJ113" s="7">
        <v>20</v>
      </c>
      <c r="AK113" s="4" t="s">
        <v>311</v>
      </c>
    </row>
    <row r="114" ht="14.4" spans="2:37">
      <c r="B114" s="7" t="s">
        <v>359</v>
      </c>
      <c r="C114" s="4">
        <v>4</v>
      </c>
      <c r="E114">
        <f>C114-1</f>
        <v>3</v>
      </c>
      <c r="G114">
        <v>3</v>
      </c>
      <c r="I114" t="s">
        <v>624</v>
      </c>
      <c r="M114" s="4">
        <v>13</v>
      </c>
      <c r="N114" s="4">
        <v>2</v>
      </c>
      <c r="O114" s="4">
        <v>6</v>
      </c>
      <c r="P114" s="20">
        <v>1</v>
      </c>
      <c r="Q114" s="4">
        <f>IF(第1关!AF79=0,Q113,第1关!AF79)</f>
        <v>18</v>
      </c>
      <c r="R114" s="4">
        <f>IF(第2关!AF79=0,R113,第2关!AF79)</f>
        <v>5</v>
      </c>
      <c r="S114" s="7">
        <f>第3关!AH79</f>
        <v>9</v>
      </c>
      <c r="T114" s="7">
        <f>ROUND(S114*($P$114^(S113-2)),0)</f>
        <v>9</v>
      </c>
      <c r="U114" s="7">
        <f t="shared" ref="U114:AI114" si="61">ROUND(T114*($P$114^(T113-2)),0)</f>
        <v>9</v>
      </c>
      <c r="V114" s="7">
        <f t="shared" si="61"/>
        <v>9</v>
      </c>
      <c r="W114" s="7">
        <f t="shared" si="61"/>
        <v>9</v>
      </c>
      <c r="X114" s="7">
        <f t="shared" si="61"/>
        <v>9</v>
      </c>
      <c r="Y114" s="7">
        <f t="shared" si="61"/>
        <v>9</v>
      </c>
      <c r="Z114" s="7">
        <f t="shared" si="61"/>
        <v>9</v>
      </c>
      <c r="AA114" s="7">
        <f t="shared" si="61"/>
        <v>9</v>
      </c>
      <c r="AB114" s="7">
        <f t="shared" si="61"/>
        <v>9</v>
      </c>
      <c r="AC114" s="7">
        <f t="shared" si="61"/>
        <v>9</v>
      </c>
      <c r="AD114" s="7">
        <f t="shared" si="61"/>
        <v>9</v>
      </c>
      <c r="AE114" s="7">
        <f t="shared" si="61"/>
        <v>9</v>
      </c>
      <c r="AF114" s="7">
        <f t="shared" si="61"/>
        <v>9</v>
      </c>
      <c r="AG114" s="7">
        <f t="shared" si="61"/>
        <v>9</v>
      </c>
      <c r="AH114" s="7">
        <f t="shared" si="61"/>
        <v>9</v>
      </c>
      <c r="AI114" s="7">
        <f t="shared" si="61"/>
        <v>9</v>
      </c>
      <c r="AJ114" s="7">
        <f>AJ79</f>
        <v>11</v>
      </c>
      <c r="AK114" s="7">
        <v>1</v>
      </c>
    </row>
    <row r="115" ht="14.4" spans="2:37">
      <c r="B115" s="7" t="s">
        <v>331</v>
      </c>
      <c r="C115" s="4">
        <v>4</v>
      </c>
      <c r="E115">
        <f>C115</f>
        <v>4</v>
      </c>
      <c r="G115">
        <v>4</v>
      </c>
      <c r="I115" t="s">
        <v>625</v>
      </c>
      <c r="K115" s="4">
        <v>4</v>
      </c>
      <c r="L115" s="4">
        <v>7</v>
      </c>
      <c r="M115" s="4">
        <v>11</v>
      </c>
      <c r="N115" s="4">
        <v>3</v>
      </c>
      <c r="O115" s="4">
        <v>7</v>
      </c>
      <c r="P115" s="21">
        <v>1.01228898</v>
      </c>
      <c r="Q115" s="4">
        <f>IF(第1关!AF80=0,Q114,第1关!AF80)</f>
        <v>44</v>
      </c>
      <c r="R115" s="4">
        <f>IF(第2关!AF80=0,R114,第2关!AF80)</f>
        <v>20</v>
      </c>
      <c r="S115" s="7">
        <f>第3关!AH80</f>
        <v>24</v>
      </c>
      <c r="T115" s="7">
        <f>ROUND($S$115*($P$115^(S113-2)),0)</f>
        <v>24</v>
      </c>
      <c r="U115" s="7">
        <f t="shared" ref="U115:AI115" si="62">ROUND($S$115*($P$115^(T113-2)),0)</f>
        <v>25</v>
      </c>
      <c r="V115" s="7">
        <f t="shared" si="62"/>
        <v>25</v>
      </c>
      <c r="W115" s="7">
        <f t="shared" si="62"/>
        <v>25</v>
      </c>
      <c r="X115" s="7">
        <f t="shared" si="62"/>
        <v>26</v>
      </c>
      <c r="Y115" s="7">
        <f t="shared" si="62"/>
        <v>26</v>
      </c>
      <c r="Z115" s="7">
        <f t="shared" si="62"/>
        <v>26</v>
      </c>
      <c r="AA115" s="7">
        <f t="shared" si="62"/>
        <v>26</v>
      </c>
      <c r="AB115" s="7">
        <f t="shared" si="62"/>
        <v>27</v>
      </c>
      <c r="AC115" s="7">
        <f t="shared" si="62"/>
        <v>27</v>
      </c>
      <c r="AD115" s="7">
        <f t="shared" si="62"/>
        <v>27</v>
      </c>
      <c r="AE115" s="7">
        <f t="shared" si="62"/>
        <v>28</v>
      </c>
      <c r="AF115" s="7">
        <f t="shared" si="62"/>
        <v>28</v>
      </c>
      <c r="AG115" s="7">
        <f t="shared" si="62"/>
        <v>28</v>
      </c>
      <c r="AH115" s="7">
        <f t="shared" si="62"/>
        <v>29</v>
      </c>
      <c r="AI115" s="7">
        <f t="shared" si="62"/>
        <v>29</v>
      </c>
      <c r="AJ115" s="7">
        <f t="shared" ref="AJ115:AJ125" si="63">AJ80</f>
        <v>34</v>
      </c>
      <c r="AK115" s="7">
        <v>2</v>
      </c>
    </row>
    <row r="116" ht="14.4" spans="2:37">
      <c r="B116" s="7" t="s">
        <v>339</v>
      </c>
      <c r="C116" s="4">
        <v>2</v>
      </c>
      <c r="E116">
        <f>C116</f>
        <v>2</v>
      </c>
      <c r="G116">
        <v>2</v>
      </c>
      <c r="I116" t="s">
        <v>626</v>
      </c>
      <c r="K116" s="7">
        <v>1.5</v>
      </c>
      <c r="L116" s="7">
        <v>1.5</v>
      </c>
      <c r="M116" s="4">
        <v>3</v>
      </c>
      <c r="N116" s="4">
        <v>4</v>
      </c>
      <c r="O116" s="4">
        <v>8</v>
      </c>
      <c r="P116" s="21">
        <v>1.0072265</v>
      </c>
      <c r="Q116" s="4">
        <f>IF(第1关!AF81=0,Q115,第1关!AF81)</f>
        <v>88</v>
      </c>
      <c r="R116" s="4">
        <f>IF(第2关!AF81=0,R115,第2关!AF81)</f>
        <v>70</v>
      </c>
      <c r="S116" s="7">
        <f>第3关!AH81</f>
        <v>76</v>
      </c>
      <c r="T116" s="7">
        <f>ROUND($S$116*($P$116^(S113-2)),0)</f>
        <v>77</v>
      </c>
      <c r="U116" s="7">
        <f t="shared" ref="U116:AI116" si="64">ROUND($S$116*($P$116^(T113-2)),0)</f>
        <v>77</v>
      </c>
      <c r="V116" s="7">
        <f t="shared" si="64"/>
        <v>78</v>
      </c>
      <c r="W116" s="7">
        <f t="shared" si="64"/>
        <v>78</v>
      </c>
      <c r="X116" s="7">
        <f t="shared" si="64"/>
        <v>79</v>
      </c>
      <c r="Y116" s="7">
        <f t="shared" si="64"/>
        <v>79</v>
      </c>
      <c r="Z116" s="7">
        <f t="shared" si="64"/>
        <v>80</v>
      </c>
      <c r="AA116" s="7">
        <f t="shared" si="64"/>
        <v>81</v>
      </c>
      <c r="AB116" s="7">
        <f t="shared" si="64"/>
        <v>81</v>
      </c>
      <c r="AC116" s="7">
        <f t="shared" si="64"/>
        <v>82</v>
      </c>
      <c r="AD116" s="7">
        <f t="shared" si="64"/>
        <v>82</v>
      </c>
      <c r="AE116" s="7">
        <f t="shared" si="64"/>
        <v>83</v>
      </c>
      <c r="AF116" s="7">
        <f t="shared" si="64"/>
        <v>83</v>
      </c>
      <c r="AG116" s="7">
        <f t="shared" si="64"/>
        <v>84</v>
      </c>
      <c r="AH116" s="7">
        <f t="shared" si="64"/>
        <v>85</v>
      </c>
      <c r="AI116" s="7">
        <f t="shared" si="64"/>
        <v>85</v>
      </c>
      <c r="AJ116" s="7">
        <f t="shared" si="63"/>
        <v>92</v>
      </c>
      <c r="AK116" s="7">
        <v>3</v>
      </c>
    </row>
    <row r="117" ht="14.4" spans="2:37">
      <c r="B117" s="7" t="s">
        <v>334</v>
      </c>
      <c r="C117" s="4">
        <v>3</v>
      </c>
      <c r="D117">
        <f t="shared" ref="D117:H117" si="65">PRODUCT(C113:C117)</f>
        <v>768</v>
      </c>
      <c r="E117">
        <f>C117</f>
        <v>3</v>
      </c>
      <c r="F117">
        <f t="shared" si="65"/>
        <v>432</v>
      </c>
      <c r="G117">
        <v>3</v>
      </c>
      <c r="H117">
        <f t="shared" si="65"/>
        <v>288</v>
      </c>
      <c r="K117" s="7"/>
      <c r="L117" s="7"/>
      <c r="N117" s="4">
        <v>5</v>
      </c>
      <c r="O117" s="4">
        <v>9</v>
      </c>
      <c r="P117" s="21">
        <v>1.03546765</v>
      </c>
      <c r="Q117" s="4">
        <f>IF(第1关!AF82=0,Q116,第1关!AF82)</f>
        <v>58</v>
      </c>
      <c r="R117" s="4">
        <f>IF(第2关!AF82=0,R116,第2关!AF82)</f>
        <v>102</v>
      </c>
      <c r="S117" s="7">
        <f>第3关!AH82</f>
        <v>64</v>
      </c>
      <c r="T117" s="7">
        <f>ROUND($S$117*$P$117^(S113-2),0)</f>
        <v>66</v>
      </c>
      <c r="U117" s="7">
        <f>ROUND($S$117*$P$117^(T113-2),0)</f>
        <v>69</v>
      </c>
      <c r="V117" s="7">
        <f t="shared" ref="V117:AI117" si="66">ROUND($S$117*$P$117^(U113-2),0)</f>
        <v>71</v>
      </c>
      <c r="W117" s="7">
        <f t="shared" si="66"/>
        <v>74</v>
      </c>
      <c r="X117" s="7">
        <f t="shared" si="66"/>
        <v>76</v>
      </c>
      <c r="Y117" s="7">
        <f t="shared" si="66"/>
        <v>79</v>
      </c>
      <c r="Z117" s="7">
        <f t="shared" si="66"/>
        <v>82</v>
      </c>
      <c r="AA117" s="7">
        <f t="shared" si="66"/>
        <v>85</v>
      </c>
      <c r="AB117" s="7">
        <f t="shared" si="66"/>
        <v>88</v>
      </c>
      <c r="AC117" s="7">
        <f t="shared" si="66"/>
        <v>91</v>
      </c>
      <c r="AD117" s="7">
        <f t="shared" si="66"/>
        <v>94</v>
      </c>
      <c r="AE117" s="7">
        <f t="shared" si="66"/>
        <v>97</v>
      </c>
      <c r="AF117" s="7">
        <f t="shared" si="66"/>
        <v>101</v>
      </c>
      <c r="AG117" s="7">
        <f t="shared" si="66"/>
        <v>104</v>
      </c>
      <c r="AH117" s="7">
        <f t="shared" si="66"/>
        <v>108</v>
      </c>
      <c r="AI117" s="7">
        <f t="shared" si="66"/>
        <v>112</v>
      </c>
      <c r="AJ117" s="7">
        <f t="shared" si="63"/>
        <v>92</v>
      </c>
      <c r="AK117" s="7">
        <v>4</v>
      </c>
    </row>
    <row r="118" ht="14.4" spans="14:37">
      <c r="N118" s="4">
        <v>6</v>
      </c>
      <c r="O118" s="4">
        <v>10</v>
      </c>
      <c r="P118" s="21">
        <v>1.00921262</v>
      </c>
      <c r="Q118" s="4">
        <f>IF(第1关!AF83=0,Q117,第1关!AF83)</f>
        <v>140</v>
      </c>
      <c r="R118" s="4">
        <f>IF(第2关!AF83=0,R117,第2关!AF83)</f>
        <v>106</v>
      </c>
      <c r="S118" s="7">
        <f>第3关!AH83</f>
        <v>228</v>
      </c>
      <c r="T118" s="7">
        <f>ROUND($S$118*$P$118^(S113-2),0)</f>
        <v>230</v>
      </c>
      <c r="U118" s="7">
        <f t="shared" ref="U118:AI118" si="67">ROUND($S$118*$P$118^(T113-2),0)</f>
        <v>232</v>
      </c>
      <c r="V118" s="7">
        <f t="shared" si="67"/>
        <v>234</v>
      </c>
      <c r="W118" s="7">
        <f t="shared" si="67"/>
        <v>237</v>
      </c>
      <c r="X118" s="7">
        <f t="shared" si="67"/>
        <v>239</v>
      </c>
      <c r="Y118" s="7">
        <f t="shared" si="67"/>
        <v>241</v>
      </c>
      <c r="Z118" s="7">
        <f t="shared" si="67"/>
        <v>243</v>
      </c>
      <c r="AA118" s="7">
        <f t="shared" si="67"/>
        <v>245</v>
      </c>
      <c r="AB118" s="7">
        <f t="shared" si="67"/>
        <v>248</v>
      </c>
      <c r="AC118" s="7">
        <f t="shared" si="67"/>
        <v>250</v>
      </c>
      <c r="AD118" s="7">
        <f t="shared" si="67"/>
        <v>252</v>
      </c>
      <c r="AE118" s="7">
        <f t="shared" si="67"/>
        <v>255</v>
      </c>
      <c r="AF118" s="7">
        <f t="shared" si="67"/>
        <v>257</v>
      </c>
      <c r="AG118" s="7">
        <f t="shared" si="67"/>
        <v>259</v>
      </c>
      <c r="AH118" s="7">
        <f t="shared" si="67"/>
        <v>262</v>
      </c>
      <c r="AI118" s="7">
        <f t="shared" si="67"/>
        <v>264</v>
      </c>
      <c r="AJ118" s="7">
        <f t="shared" si="63"/>
        <v>263</v>
      </c>
      <c r="AK118" s="7">
        <v>5</v>
      </c>
    </row>
    <row r="119" ht="25.2" spans="1:37">
      <c r="A119" s="17" t="s">
        <v>481</v>
      </c>
      <c r="N119" s="4">
        <v>7</v>
      </c>
      <c r="O119" s="4">
        <v>11</v>
      </c>
      <c r="P119" s="21">
        <v>1.05</v>
      </c>
      <c r="Q119" s="4">
        <f>IF(第1关!AF84=0,Q118,第1关!AF84)</f>
        <v>198</v>
      </c>
      <c r="R119" s="4">
        <f>IF(第2关!AF84=0,R118,第2关!AF84)</f>
        <v>175</v>
      </c>
      <c r="S119" s="7">
        <f>第3关!AH84</f>
        <v>324</v>
      </c>
      <c r="T119" s="7">
        <f>ROUND($S$119*$P$119^(S113-2),0)</f>
        <v>340</v>
      </c>
      <c r="U119" s="7">
        <f t="shared" ref="U119:AI119" si="68">ROUND($S$119*$P$119^(T113-2),0)</f>
        <v>357</v>
      </c>
      <c r="V119" s="7">
        <f t="shared" si="68"/>
        <v>375</v>
      </c>
      <c r="W119" s="7">
        <f t="shared" si="68"/>
        <v>394</v>
      </c>
      <c r="X119" s="7">
        <f t="shared" si="68"/>
        <v>414</v>
      </c>
      <c r="Y119" s="7">
        <f t="shared" si="68"/>
        <v>434</v>
      </c>
      <c r="Z119" s="7">
        <f t="shared" si="68"/>
        <v>456</v>
      </c>
      <c r="AA119" s="7">
        <f t="shared" si="68"/>
        <v>479</v>
      </c>
      <c r="AB119" s="7">
        <f t="shared" si="68"/>
        <v>503</v>
      </c>
      <c r="AC119" s="7">
        <f t="shared" si="68"/>
        <v>528</v>
      </c>
      <c r="AD119" s="7">
        <f t="shared" si="68"/>
        <v>554</v>
      </c>
      <c r="AE119" s="7">
        <f t="shared" si="68"/>
        <v>582</v>
      </c>
      <c r="AF119" s="7">
        <f t="shared" si="68"/>
        <v>611</v>
      </c>
      <c r="AG119" s="7">
        <f t="shared" si="68"/>
        <v>641</v>
      </c>
      <c r="AH119" s="7">
        <f t="shared" si="68"/>
        <v>674</v>
      </c>
      <c r="AI119" s="7">
        <f t="shared" si="68"/>
        <v>707</v>
      </c>
      <c r="AJ119" s="7">
        <f t="shared" si="63"/>
        <v>658</v>
      </c>
      <c r="AK119" s="7">
        <v>6</v>
      </c>
    </row>
    <row r="120" ht="14.4" spans="1:37">
      <c r="A120" s="18" t="s">
        <v>432</v>
      </c>
      <c r="E120">
        <v>1.2</v>
      </c>
      <c r="H120">
        <v>2.5</v>
      </c>
      <c r="N120" s="4">
        <v>8</v>
      </c>
      <c r="O120" s="4">
        <v>12</v>
      </c>
      <c r="P120" s="21">
        <v>1.08</v>
      </c>
      <c r="Q120" s="4">
        <f>IF(第1关!AF85=0,Q119,第1关!AF85)</f>
        <v>236</v>
      </c>
      <c r="R120" s="4">
        <f>IF(第2关!AF85=0,R119,第2关!AF85)</f>
        <v>259</v>
      </c>
      <c r="S120" s="7">
        <f>第3关!AH85</f>
        <v>389</v>
      </c>
      <c r="T120" s="7">
        <f>ROUND($S$120*$P$120^(S113-2),0)</f>
        <v>420</v>
      </c>
      <c r="U120" s="7">
        <f t="shared" ref="U120:AI120" si="69">ROUND($S$120*$P$120^(T113-2),0)</f>
        <v>454</v>
      </c>
      <c r="V120" s="7">
        <f t="shared" si="69"/>
        <v>490</v>
      </c>
      <c r="W120" s="7">
        <f t="shared" si="69"/>
        <v>529</v>
      </c>
      <c r="X120" s="7">
        <f t="shared" si="69"/>
        <v>572</v>
      </c>
      <c r="Y120" s="7">
        <f t="shared" si="69"/>
        <v>617</v>
      </c>
      <c r="Z120" s="7">
        <f t="shared" si="69"/>
        <v>667</v>
      </c>
      <c r="AA120" s="7">
        <f t="shared" si="69"/>
        <v>720</v>
      </c>
      <c r="AB120" s="7">
        <f t="shared" si="69"/>
        <v>778</v>
      </c>
      <c r="AC120" s="7">
        <f t="shared" si="69"/>
        <v>840</v>
      </c>
      <c r="AD120" s="7">
        <f t="shared" si="69"/>
        <v>907</v>
      </c>
      <c r="AE120" s="7">
        <f t="shared" si="69"/>
        <v>980</v>
      </c>
      <c r="AF120" s="7">
        <f t="shared" si="69"/>
        <v>1058</v>
      </c>
      <c r="AG120" s="7">
        <f t="shared" si="69"/>
        <v>1143</v>
      </c>
      <c r="AH120" s="7">
        <f t="shared" si="69"/>
        <v>1234</v>
      </c>
      <c r="AI120" s="7">
        <f t="shared" si="69"/>
        <v>1333</v>
      </c>
      <c r="AJ120" s="7">
        <f t="shared" si="63"/>
        <v>1644</v>
      </c>
      <c r="AK120" s="7">
        <v>7</v>
      </c>
    </row>
    <row r="121" ht="16.2" spans="1:37">
      <c r="A121" s="5" t="s">
        <v>482</v>
      </c>
      <c r="B121" s="5" t="s">
        <v>483</v>
      </c>
      <c r="C121" s="5" t="s">
        <v>484</v>
      </c>
      <c r="D121" s="5" t="s">
        <v>485</v>
      </c>
      <c r="E121" s="5" t="s">
        <v>486</v>
      </c>
      <c r="F121" s="5" t="s">
        <v>487</v>
      </c>
      <c r="G121" s="5" t="s">
        <v>488</v>
      </c>
      <c r="H121" s="5" t="s">
        <v>489</v>
      </c>
      <c r="I121" s="5" t="s">
        <v>490</v>
      </c>
      <c r="P121" s="21">
        <v>1.15</v>
      </c>
      <c r="Q121" s="4">
        <f>IF(第1关!AF86=0,Q120,第1关!AF86)</f>
        <v>236</v>
      </c>
      <c r="R121" s="4">
        <f>IF(第2关!AF86=0,R120,第2关!AF86)</f>
        <v>434</v>
      </c>
      <c r="S121" s="7">
        <f>第3关!AH86</f>
        <v>343</v>
      </c>
      <c r="T121" s="7">
        <f>ROUND($S$121*$P$121^(S113-2),0)</f>
        <v>394</v>
      </c>
      <c r="U121" s="7">
        <f t="shared" ref="U121:AI121" si="70">ROUND($S$121*$P$121^(T113-2),0)</f>
        <v>454</v>
      </c>
      <c r="V121" s="7">
        <f t="shared" si="70"/>
        <v>522</v>
      </c>
      <c r="W121" s="7">
        <f t="shared" si="70"/>
        <v>600</v>
      </c>
      <c r="X121" s="7">
        <f t="shared" si="70"/>
        <v>690</v>
      </c>
      <c r="Y121" s="7">
        <f t="shared" si="70"/>
        <v>793</v>
      </c>
      <c r="Z121" s="7">
        <f t="shared" si="70"/>
        <v>912</v>
      </c>
      <c r="AA121" s="7">
        <f t="shared" si="70"/>
        <v>1049</v>
      </c>
      <c r="AB121" s="7">
        <f t="shared" si="70"/>
        <v>1207</v>
      </c>
      <c r="AC121" s="7">
        <f t="shared" si="70"/>
        <v>1388</v>
      </c>
      <c r="AD121" s="7">
        <f t="shared" si="70"/>
        <v>1596</v>
      </c>
      <c r="AE121" s="7">
        <f t="shared" si="70"/>
        <v>1835</v>
      </c>
      <c r="AF121" s="7">
        <f t="shared" si="70"/>
        <v>2110</v>
      </c>
      <c r="AG121" s="7">
        <f t="shared" si="70"/>
        <v>2427</v>
      </c>
      <c r="AH121" s="7">
        <f t="shared" si="70"/>
        <v>2791</v>
      </c>
      <c r="AI121" s="7">
        <f t="shared" si="70"/>
        <v>3210</v>
      </c>
      <c r="AJ121" s="7">
        <f t="shared" si="63"/>
        <v>4931</v>
      </c>
      <c r="AK121" s="7">
        <v>8</v>
      </c>
    </row>
    <row r="122" ht="14.4" spans="1:37">
      <c r="A122" s="18" t="s">
        <v>440</v>
      </c>
      <c r="B122" s="7">
        <v>67</v>
      </c>
      <c r="C122" s="19">
        <f>B122/SUM($B$4:$B$7)</f>
        <v>0.0281512605042017</v>
      </c>
      <c r="D122">
        <f t="shared" ref="D122:D125" si="71">1/C122</f>
        <v>35.5223880597015</v>
      </c>
      <c r="P122" s="21">
        <v>1.2</v>
      </c>
      <c r="Q122" s="4">
        <f>IF(第1关!AF87=0,Q121,第1关!AF87)</f>
        <v>236</v>
      </c>
      <c r="R122" s="4">
        <f>IF(第2关!AF87=0,R121,第2关!AF87)</f>
        <v>595</v>
      </c>
      <c r="S122" s="7">
        <f>第3关!AH87</f>
        <v>722</v>
      </c>
      <c r="T122" s="7">
        <f>ROUND($S$122*$P$122^(S113-2),0)</f>
        <v>866</v>
      </c>
      <c r="U122" s="7">
        <f t="shared" ref="U122:AI122" si="72">ROUND($S$122*$P$122^(T113-2),0)</f>
        <v>1040</v>
      </c>
      <c r="V122" s="7">
        <f t="shared" si="72"/>
        <v>1248</v>
      </c>
      <c r="W122" s="7">
        <f t="shared" si="72"/>
        <v>1497</v>
      </c>
      <c r="X122" s="7">
        <f t="shared" si="72"/>
        <v>1797</v>
      </c>
      <c r="Y122" s="7">
        <f t="shared" si="72"/>
        <v>2156</v>
      </c>
      <c r="Z122" s="7">
        <f t="shared" si="72"/>
        <v>2587</v>
      </c>
      <c r="AA122" s="7">
        <f t="shared" si="72"/>
        <v>3104</v>
      </c>
      <c r="AB122" s="7">
        <f t="shared" si="72"/>
        <v>3725</v>
      </c>
      <c r="AC122" s="7">
        <f t="shared" si="72"/>
        <v>4470</v>
      </c>
      <c r="AD122" s="7">
        <f t="shared" si="72"/>
        <v>5365</v>
      </c>
      <c r="AE122" s="7">
        <f t="shared" si="72"/>
        <v>6437</v>
      </c>
      <c r="AF122" s="7">
        <f t="shared" si="72"/>
        <v>7725</v>
      </c>
      <c r="AG122" s="7">
        <f t="shared" si="72"/>
        <v>9270</v>
      </c>
      <c r="AH122" s="7">
        <f t="shared" si="72"/>
        <v>11124</v>
      </c>
      <c r="AI122" s="7">
        <f t="shared" si="72"/>
        <v>13349</v>
      </c>
      <c r="AJ122" s="7">
        <f t="shared" si="63"/>
        <v>14794</v>
      </c>
      <c r="AK122" s="7">
        <v>9</v>
      </c>
    </row>
    <row r="123" ht="14.4" spans="1:37">
      <c r="A123" s="18" t="s">
        <v>446</v>
      </c>
      <c r="B123" s="7">
        <v>200</v>
      </c>
      <c r="C123" s="19">
        <f>B123/SUM($B$4:$B$7)</f>
        <v>0.0840336134453782</v>
      </c>
      <c r="D123">
        <f t="shared" si="71"/>
        <v>11.9</v>
      </c>
      <c r="K123" s="18" t="s">
        <v>491</v>
      </c>
      <c r="P123" s="21">
        <v>1.23</v>
      </c>
      <c r="Q123" s="4">
        <f>IF(第1关!AF88=0,Q122,第1关!AF88)</f>
        <v>236</v>
      </c>
      <c r="R123" s="4">
        <f>IF(第2关!AF88=0,R122,第2关!AF88)</f>
        <v>839</v>
      </c>
      <c r="S123" s="7">
        <f>第3关!AH88</f>
        <v>1010</v>
      </c>
      <c r="T123" s="7">
        <f>ROUND($S$123*$P$123^(S113-2),0)</f>
        <v>1242</v>
      </c>
      <c r="U123" s="7">
        <f t="shared" ref="U123:AI123" si="73">ROUND($S$123*$P$123^(T113-2),0)</f>
        <v>1528</v>
      </c>
      <c r="V123" s="7">
        <f t="shared" si="73"/>
        <v>1879</v>
      </c>
      <c r="W123" s="7">
        <f t="shared" si="73"/>
        <v>2312</v>
      </c>
      <c r="X123" s="7">
        <f t="shared" si="73"/>
        <v>2843</v>
      </c>
      <c r="Y123" s="7">
        <f t="shared" si="73"/>
        <v>3497</v>
      </c>
      <c r="Z123" s="7">
        <f t="shared" si="73"/>
        <v>4302</v>
      </c>
      <c r="AA123" s="7">
        <f t="shared" si="73"/>
        <v>5291</v>
      </c>
      <c r="AB123" s="7">
        <f t="shared" si="73"/>
        <v>6508</v>
      </c>
      <c r="AC123" s="7">
        <f t="shared" si="73"/>
        <v>8005</v>
      </c>
      <c r="AD123" s="7">
        <f t="shared" si="73"/>
        <v>9846</v>
      </c>
      <c r="AE123" s="7">
        <f t="shared" si="73"/>
        <v>12111</v>
      </c>
      <c r="AF123" s="7">
        <f t="shared" si="73"/>
        <v>14897</v>
      </c>
      <c r="AG123" s="7">
        <f t="shared" si="73"/>
        <v>18323</v>
      </c>
      <c r="AH123" s="7">
        <f t="shared" si="73"/>
        <v>22537</v>
      </c>
      <c r="AI123" s="7">
        <f t="shared" si="73"/>
        <v>27721</v>
      </c>
      <c r="AJ123" s="7">
        <f t="shared" si="63"/>
        <v>44381</v>
      </c>
      <c r="AK123" s="7">
        <v>10</v>
      </c>
    </row>
    <row r="124" ht="14.4" spans="1:37">
      <c r="A124" s="18" t="s">
        <v>451</v>
      </c>
      <c r="B124" s="7">
        <v>20</v>
      </c>
      <c r="C124" s="19">
        <f>B124/SUM($B$4:$B$7)</f>
        <v>0.00840336134453781</v>
      </c>
      <c r="D124">
        <f t="shared" si="71"/>
        <v>119</v>
      </c>
      <c r="E124">
        <v>18</v>
      </c>
      <c r="F124">
        <v>2</v>
      </c>
      <c r="G124">
        <v>1</v>
      </c>
      <c r="H124" s="7">
        <v>36</v>
      </c>
      <c r="I124" s="22">
        <v>12.88</v>
      </c>
      <c r="J124" s="18" t="s">
        <v>492</v>
      </c>
      <c r="K124" s="18" t="s">
        <v>493</v>
      </c>
      <c r="P124" s="21">
        <v>1.25</v>
      </c>
      <c r="Q124" s="4">
        <f>IF(第1关!AF89=0,Q123,第1关!AF89)</f>
        <v>236</v>
      </c>
      <c r="R124" s="4">
        <f>IF(第2关!AF89=0,R123,第2关!AF89)</f>
        <v>839</v>
      </c>
      <c r="S124" s="7">
        <f>第3关!AH89</f>
        <v>1319</v>
      </c>
      <c r="T124" s="7">
        <f>ROUND($S$124*$P$124^(S113-2),0)</f>
        <v>1649</v>
      </c>
      <c r="U124" s="7">
        <f t="shared" ref="U124:AI124" si="74">ROUND($S$124*$P$124^(T113-2),0)</f>
        <v>2061</v>
      </c>
      <c r="V124" s="7">
        <f t="shared" si="74"/>
        <v>2576</v>
      </c>
      <c r="W124" s="7">
        <f t="shared" si="74"/>
        <v>3220</v>
      </c>
      <c r="X124" s="7">
        <f t="shared" si="74"/>
        <v>4025</v>
      </c>
      <c r="Y124" s="7">
        <f t="shared" si="74"/>
        <v>5032</v>
      </c>
      <c r="Z124" s="7">
        <f t="shared" si="74"/>
        <v>6289</v>
      </c>
      <c r="AA124" s="7">
        <f t="shared" si="74"/>
        <v>7862</v>
      </c>
      <c r="AB124" s="7">
        <f t="shared" si="74"/>
        <v>9827</v>
      </c>
      <c r="AC124" s="7">
        <f t="shared" si="74"/>
        <v>12284</v>
      </c>
      <c r="AD124" s="7">
        <f t="shared" si="74"/>
        <v>15355</v>
      </c>
      <c r="AE124" s="7">
        <f t="shared" si="74"/>
        <v>19194</v>
      </c>
      <c r="AF124" s="7">
        <f t="shared" si="74"/>
        <v>23992</v>
      </c>
      <c r="AG124" s="7">
        <f t="shared" si="74"/>
        <v>29991</v>
      </c>
      <c r="AH124" s="7">
        <f t="shared" si="74"/>
        <v>37488</v>
      </c>
      <c r="AI124" s="7">
        <f t="shared" si="74"/>
        <v>46860</v>
      </c>
      <c r="AJ124" s="7">
        <f t="shared" si="63"/>
        <v>133144</v>
      </c>
      <c r="AK124" s="7">
        <v>11</v>
      </c>
    </row>
    <row r="125" ht="14.4" spans="1:37">
      <c r="A125" s="18" t="s">
        <v>456</v>
      </c>
      <c r="B125" s="7">
        <v>5</v>
      </c>
      <c r="C125" s="19">
        <f>B125/SUM($B$4:$B$7)</f>
        <v>0.00210084033613445</v>
      </c>
      <c r="D125">
        <f t="shared" si="71"/>
        <v>476</v>
      </c>
      <c r="E125">
        <v>70</v>
      </c>
      <c r="F125">
        <v>0.15</v>
      </c>
      <c r="G125">
        <v>5</v>
      </c>
      <c r="H125" s="7">
        <v>146</v>
      </c>
      <c r="I125" s="22">
        <v>50.99</v>
      </c>
      <c r="J125" s="18" t="s">
        <v>494</v>
      </c>
      <c r="K125" s="18" t="s">
        <v>495</v>
      </c>
      <c r="P125" s="21">
        <v>1.25</v>
      </c>
      <c r="Q125" s="4">
        <f>IF(第1关!AF90=0,Q124,第1关!AF90)</f>
        <v>236</v>
      </c>
      <c r="R125" s="4">
        <f>IF(第2关!AF90=0,R124,第2关!AF90)</f>
        <v>839</v>
      </c>
      <c r="S125" s="7">
        <f>第3关!AH90</f>
        <v>1334</v>
      </c>
      <c r="T125" s="7">
        <f>ROUND($S$125*$P$125^(S113-2),0)</f>
        <v>1668</v>
      </c>
      <c r="U125" s="7">
        <f t="shared" ref="U125:AI125" si="75">ROUND($S$125*$P$125^(T113-2),0)</f>
        <v>2084</v>
      </c>
      <c r="V125" s="7">
        <f t="shared" si="75"/>
        <v>2605</v>
      </c>
      <c r="W125" s="7">
        <f t="shared" si="75"/>
        <v>3257</v>
      </c>
      <c r="X125" s="7">
        <f t="shared" si="75"/>
        <v>4071</v>
      </c>
      <c r="Y125" s="7">
        <f t="shared" si="75"/>
        <v>5089</v>
      </c>
      <c r="Z125" s="7">
        <f t="shared" si="75"/>
        <v>6361</v>
      </c>
      <c r="AA125" s="7">
        <f t="shared" si="75"/>
        <v>7951</v>
      </c>
      <c r="AB125" s="7">
        <f t="shared" si="75"/>
        <v>9939</v>
      </c>
      <c r="AC125" s="7">
        <f t="shared" si="75"/>
        <v>12424</v>
      </c>
      <c r="AD125" s="7">
        <f t="shared" si="75"/>
        <v>15530</v>
      </c>
      <c r="AE125" s="7">
        <f t="shared" si="75"/>
        <v>19412</v>
      </c>
      <c r="AF125" s="7">
        <f t="shared" si="75"/>
        <v>24265</v>
      </c>
      <c r="AG125" s="7">
        <f t="shared" si="75"/>
        <v>30332</v>
      </c>
      <c r="AH125" s="7">
        <f t="shared" si="75"/>
        <v>37915</v>
      </c>
      <c r="AI125" s="7">
        <f t="shared" si="75"/>
        <v>47393</v>
      </c>
      <c r="AJ125" s="7">
        <f t="shared" si="63"/>
        <v>140273</v>
      </c>
      <c r="AK125" s="7">
        <v>12</v>
      </c>
    </row>
    <row r="126" spans="1:1">
      <c r="A126" s="18"/>
    </row>
    <row r="127" spans="1:1">
      <c r="A127" s="18" t="s">
        <v>438</v>
      </c>
    </row>
    <row r="128" ht="16.2" spans="1:9">
      <c r="A128" s="5" t="s">
        <v>482</v>
      </c>
      <c r="B128" s="5" t="s">
        <v>496</v>
      </c>
      <c r="C128" s="5" t="s">
        <v>484</v>
      </c>
      <c r="D128" s="5" t="s">
        <v>485</v>
      </c>
      <c r="E128" s="5" t="s">
        <v>486</v>
      </c>
      <c r="F128" s="5" t="s">
        <v>487</v>
      </c>
      <c r="G128" s="5" t="s">
        <v>488</v>
      </c>
      <c r="H128" s="5" t="s">
        <v>489</v>
      </c>
      <c r="I128" s="5" t="s">
        <v>490</v>
      </c>
    </row>
    <row r="129" spans="1:36">
      <c r="A129" s="18" t="s">
        <v>440</v>
      </c>
      <c r="B129" s="4">
        <v>7</v>
      </c>
      <c r="C129" s="23">
        <f t="shared" ref="C129:C132" si="76">B129/SUM($B$11:$B$14)</f>
        <v>0.00143149284253579</v>
      </c>
      <c r="D129" s="4">
        <f t="shared" ref="D129:D132" si="77">1/C129</f>
        <v>698.571428571429</v>
      </c>
      <c r="E129" s="4"/>
      <c r="F129" s="4"/>
      <c r="G129" s="4"/>
      <c r="H129" s="4"/>
      <c r="Q129">
        <v>18</v>
      </c>
      <c r="R129">
        <v>5</v>
      </c>
      <c r="S129" s="24">
        <v>11</v>
      </c>
      <c r="T129" s="24">
        <v>11</v>
      </c>
      <c r="U129" s="24">
        <v>11</v>
      </c>
      <c r="V129" s="24">
        <v>11</v>
      </c>
      <c r="W129" s="24">
        <v>11</v>
      </c>
      <c r="X129" s="24">
        <v>11</v>
      </c>
      <c r="Y129" s="24">
        <v>11</v>
      </c>
      <c r="Z129" s="24">
        <v>11</v>
      </c>
      <c r="AA129" s="24">
        <v>11</v>
      </c>
      <c r="AB129" s="24">
        <v>11</v>
      </c>
      <c r="AC129" s="24">
        <v>11</v>
      </c>
      <c r="AD129" s="24">
        <v>11</v>
      </c>
      <c r="AE129" s="24">
        <v>11</v>
      </c>
      <c r="AF129" s="24">
        <v>11</v>
      </c>
      <c r="AG129" s="24">
        <v>11</v>
      </c>
      <c r="AH129" s="24">
        <v>11</v>
      </c>
      <c r="AI129" s="24">
        <v>11</v>
      </c>
      <c r="AJ129" s="24">
        <v>11</v>
      </c>
    </row>
    <row r="130" spans="1:36">
      <c r="A130" s="18" t="s">
        <v>446</v>
      </c>
      <c r="B130" s="4">
        <v>21</v>
      </c>
      <c r="C130" s="23">
        <f t="shared" si="76"/>
        <v>0.00429447852760736</v>
      </c>
      <c r="D130" s="4">
        <f t="shared" si="77"/>
        <v>232.857142857143</v>
      </c>
      <c r="E130" s="4"/>
      <c r="F130" s="4"/>
      <c r="G130" s="4"/>
      <c r="H130" s="4"/>
      <c r="K130" s="18" t="s">
        <v>497</v>
      </c>
      <c r="Q130">
        <v>32</v>
      </c>
      <c r="R130">
        <v>9</v>
      </c>
      <c r="S130" s="24">
        <v>21</v>
      </c>
      <c r="T130" s="24">
        <v>21</v>
      </c>
      <c r="U130" s="24">
        <v>21</v>
      </c>
      <c r="V130" s="24">
        <v>21</v>
      </c>
      <c r="W130" s="24">
        <v>21</v>
      </c>
      <c r="X130" s="24">
        <v>21</v>
      </c>
      <c r="Y130" s="24">
        <v>21</v>
      </c>
      <c r="Z130" s="24">
        <v>21</v>
      </c>
      <c r="AA130" s="24">
        <v>21</v>
      </c>
      <c r="AB130" s="24">
        <v>21</v>
      </c>
      <c r="AC130" s="24">
        <v>21</v>
      </c>
      <c r="AD130" s="24">
        <v>21</v>
      </c>
      <c r="AE130" s="24">
        <v>21</v>
      </c>
      <c r="AF130" s="24">
        <v>21</v>
      </c>
      <c r="AG130" s="24">
        <v>21</v>
      </c>
      <c r="AH130" s="24">
        <v>21</v>
      </c>
      <c r="AI130" s="24">
        <v>21</v>
      </c>
      <c r="AJ130" s="24">
        <v>21</v>
      </c>
    </row>
    <row r="131" spans="1:36">
      <c r="A131" s="18" t="s">
        <v>451</v>
      </c>
      <c r="B131" s="4">
        <v>17</v>
      </c>
      <c r="C131" s="23">
        <f t="shared" si="76"/>
        <v>0.00347648261758691</v>
      </c>
      <c r="D131" s="4">
        <f t="shared" si="77"/>
        <v>287.647058823529</v>
      </c>
      <c r="E131" s="4">
        <v>4</v>
      </c>
      <c r="F131" s="4">
        <v>8</v>
      </c>
      <c r="G131" s="4">
        <v>0</v>
      </c>
      <c r="H131" s="4">
        <v>8</v>
      </c>
      <c r="I131" s="22">
        <v>2.76</v>
      </c>
      <c r="J131" s="18" t="s">
        <v>498</v>
      </c>
      <c r="K131" s="18" t="s">
        <v>499</v>
      </c>
      <c r="Q131">
        <v>66</v>
      </c>
      <c r="R131">
        <v>26</v>
      </c>
      <c r="S131" s="24">
        <v>53</v>
      </c>
      <c r="T131" s="24">
        <v>53</v>
      </c>
      <c r="U131" s="24">
        <v>53</v>
      </c>
      <c r="V131" s="24">
        <v>53</v>
      </c>
      <c r="W131" s="24">
        <v>53</v>
      </c>
      <c r="X131" s="24">
        <v>53</v>
      </c>
      <c r="Y131" s="24">
        <v>53</v>
      </c>
      <c r="Z131" s="24">
        <v>53</v>
      </c>
      <c r="AA131" s="24">
        <v>53</v>
      </c>
      <c r="AB131" s="24">
        <v>53</v>
      </c>
      <c r="AC131" s="24">
        <v>53</v>
      </c>
      <c r="AD131" s="24">
        <v>53</v>
      </c>
      <c r="AE131" s="24">
        <v>53</v>
      </c>
      <c r="AF131" s="24">
        <v>53</v>
      </c>
      <c r="AG131" s="24">
        <v>53</v>
      </c>
      <c r="AH131" s="24">
        <v>53</v>
      </c>
      <c r="AI131" s="24">
        <v>53</v>
      </c>
      <c r="AJ131" s="24">
        <v>53</v>
      </c>
    </row>
    <row r="132" spans="1:36">
      <c r="A132" s="18" t="s">
        <v>456</v>
      </c>
      <c r="B132" s="4">
        <v>5</v>
      </c>
      <c r="C132" s="23">
        <f t="shared" si="76"/>
        <v>0.00102249488752556</v>
      </c>
      <c r="D132" s="4">
        <f t="shared" si="77"/>
        <v>978</v>
      </c>
      <c r="E132" s="4">
        <v>12</v>
      </c>
      <c r="F132" s="4">
        <v>1</v>
      </c>
      <c r="G132" s="4">
        <v>0</v>
      </c>
      <c r="H132" s="4">
        <v>25</v>
      </c>
      <c r="I132" s="22">
        <v>8.75</v>
      </c>
      <c r="J132" s="18" t="s">
        <v>500</v>
      </c>
      <c r="K132" s="18" t="s">
        <v>501</v>
      </c>
      <c r="Q132">
        <v>76</v>
      </c>
      <c r="R132">
        <v>61</v>
      </c>
      <c r="S132" s="24">
        <v>76</v>
      </c>
      <c r="T132" s="24">
        <v>76</v>
      </c>
      <c r="U132" s="24">
        <v>76</v>
      </c>
      <c r="V132" s="24">
        <v>76</v>
      </c>
      <c r="W132" s="24">
        <v>76</v>
      </c>
      <c r="X132" s="24">
        <v>76</v>
      </c>
      <c r="Y132" s="24">
        <v>76</v>
      </c>
      <c r="Z132" s="24">
        <v>76</v>
      </c>
      <c r="AA132" s="24">
        <v>76</v>
      </c>
      <c r="AB132" s="24">
        <v>76</v>
      </c>
      <c r="AC132" s="24">
        <v>76</v>
      </c>
      <c r="AD132" s="24">
        <v>76</v>
      </c>
      <c r="AE132" s="24">
        <v>76</v>
      </c>
      <c r="AF132" s="24">
        <v>76</v>
      </c>
      <c r="AG132" s="24">
        <v>76</v>
      </c>
      <c r="AH132" s="24">
        <v>76</v>
      </c>
      <c r="AI132" s="24">
        <v>76</v>
      </c>
      <c r="AJ132" s="24">
        <v>76</v>
      </c>
    </row>
    <row r="133" spans="17:36">
      <c r="Q133">
        <v>51</v>
      </c>
      <c r="R133">
        <v>53</v>
      </c>
      <c r="S133" s="24">
        <v>62</v>
      </c>
      <c r="T133" s="24">
        <v>62</v>
      </c>
      <c r="U133" s="24">
        <v>62</v>
      </c>
      <c r="V133" s="24">
        <v>62</v>
      </c>
      <c r="W133" s="24">
        <v>62</v>
      </c>
      <c r="X133" s="24">
        <v>62</v>
      </c>
      <c r="Y133" s="24">
        <v>62</v>
      </c>
      <c r="Z133" s="24">
        <v>62</v>
      </c>
      <c r="AA133" s="24">
        <v>62</v>
      </c>
      <c r="AB133" s="24">
        <v>71</v>
      </c>
      <c r="AC133" s="24">
        <v>82</v>
      </c>
      <c r="AD133" s="24">
        <v>94</v>
      </c>
      <c r="AE133" s="24">
        <v>108</v>
      </c>
      <c r="AF133" s="24">
        <v>124</v>
      </c>
      <c r="AG133" s="24">
        <v>143</v>
      </c>
      <c r="AH133" s="24">
        <v>164</v>
      </c>
      <c r="AI133" s="24">
        <v>189</v>
      </c>
      <c r="AJ133" s="24">
        <v>217</v>
      </c>
    </row>
    <row r="134" spans="17:36">
      <c r="Q134">
        <v>168</v>
      </c>
      <c r="R134">
        <v>168</v>
      </c>
      <c r="S134" s="24">
        <v>174</v>
      </c>
      <c r="T134" s="24">
        <v>174</v>
      </c>
      <c r="U134" s="24">
        <v>174</v>
      </c>
      <c r="V134" s="24">
        <v>174</v>
      </c>
      <c r="W134" s="24">
        <v>174</v>
      </c>
      <c r="X134" s="24">
        <v>174</v>
      </c>
      <c r="Y134" s="24">
        <v>174</v>
      </c>
      <c r="Z134" s="24">
        <v>174</v>
      </c>
      <c r="AA134" s="24">
        <v>174</v>
      </c>
      <c r="AB134" s="24">
        <v>200</v>
      </c>
      <c r="AC134" s="24">
        <v>230</v>
      </c>
      <c r="AD134" s="24">
        <v>265</v>
      </c>
      <c r="AE134" s="24">
        <v>305</v>
      </c>
      <c r="AF134" s="24">
        <v>351</v>
      </c>
      <c r="AG134" s="24">
        <v>404</v>
      </c>
      <c r="AH134" s="24">
        <v>465</v>
      </c>
      <c r="AI134" s="24">
        <v>535</v>
      </c>
      <c r="AJ134" s="24">
        <v>615</v>
      </c>
    </row>
    <row r="135" spans="17:36">
      <c r="Q135">
        <v>331</v>
      </c>
      <c r="R135">
        <v>266</v>
      </c>
      <c r="S135" s="24">
        <v>302</v>
      </c>
      <c r="T135" s="24">
        <v>302</v>
      </c>
      <c r="U135" s="24">
        <v>302</v>
      </c>
      <c r="V135" s="24">
        <v>302</v>
      </c>
      <c r="W135" s="24">
        <v>302</v>
      </c>
      <c r="X135" s="24">
        <v>302</v>
      </c>
      <c r="Y135" s="24">
        <v>302</v>
      </c>
      <c r="Z135" s="24">
        <v>302</v>
      </c>
      <c r="AA135" s="24">
        <v>302</v>
      </c>
      <c r="AB135" s="24">
        <v>347</v>
      </c>
      <c r="AC135" s="24">
        <v>399</v>
      </c>
      <c r="AD135" s="24">
        <v>459</v>
      </c>
      <c r="AE135" s="24">
        <v>528</v>
      </c>
      <c r="AF135" s="24">
        <v>607</v>
      </c>
      <c r="AG135" s="24">
        <v>698</v>
      </c>
      <c r="AH135" s="24">
        <v>803</v>
      </c>
      <c r="AI135" s="24">
        <v>923</v>
      </c>
      <c r="AJ135" s="24">
        <v>1061</v>
      </c>
    </row>
    <row r="136" spans="17:36">
      <c r="Q136">
        <v>417</v>
      </c>
      <c r="R136">
        <v>428</v>
      </c>
      <c r="S136" s="24">
        <v>428</v>
      </c>
      <c r="T136" s="24">
        <v>428</v>
      </c>
      <c r="U136" s="24">
        <v>428</v>
      </c>
      <c r="V136" s="24">
        <v>428</v>
      </c>
      <c r="W136" s="24">
        <v>428</v>
      </c>
      <c r="X136" s="24">
        <v>428</v>
      </c>
      <c r="Y136" s="24">
        <v>428</v>
      </c>
      <c r="Z136" s="24">
        <v>492</v>
      </c>
      <c r="AA136" s="24">
        <v>566</v>
      </c>
      <c r="AB136" s="24">
        <v>651</v>
      </c>
      <c r="AC136" s="24">
        <v>749</v>
      </c>
      <c r="AD136" s="24">
        <v>861</v>
      </c>
      <c r="AE136" s="24">
        <v>990</v>
      </c>
      <c r="AF136" s="24">
        <v>1139</v>
      </c>
      <c r="AG136" s="24">
        <v>1310</v>
      </c>
      <c r="AH136" s="24">
        <v>1507</v>
      </c>
      <c r="AI136" s="24">
        <v>1733</v>
      </c>
      <c r="AJ136" s="24">
        <v>1993</v>
      </c>
    </row>
    <row r="137" spans="4:36">
      <c r="D137">
        <v>6</v>
      </c>
      <c r="E137">
        <v>6</v>
      </c>
      <c r="F137">
        <v>6</v>
      </c>
      <c r="Q137">
        <v>495</v>
      </c>
      <c r="R137">
        <v>499</v>
      </c>
      <c r="S137" s="24">
        <v>499</v>
      </c>
      <c r="T137" s="24">
        <v>499</v>
      </c>
      <c r="U137" s="24">
        <v>499</v>
      </c>
      <c r="V137" s="24">
        <v>499</v>
      </c>
      <c r="W137" s="24">
        <v>499</v>
      </c>
      <c r="X137" s="24">
        <v>574</v>
      </c>
      <c r="Y137" s="24">
        <v>660</v>
      </c>
      <c r="Z137" s="24">
        <v>759</v>
      </c>
      <c r="AA137" s="24">
        <v>873</v>
      </c>
      <c r="AB137" s="24">
        <v>1004</v>
      </c>
      <c r="AC137" s="24">
        <v>1155</v>
      </c>
      <c r="AD137" s="24">
        <v>1328</v>
      </c>
      <c r="AE137" s="24">
        <v>1527</v>
      </c>
      <c r="AF137" s="24">
        <v>1756</v>
      </c>
      <c r="AG137" s="24">
        <v>2019</v>
      </c>
      <c r="AH137" s="24">
        <v>2322</v>
      </c>
      <c r="AI137" s="24">
        <v>2670</v>
      </c>
      <c r="AJ137" s="24">
        <v>3071</v>
      </c>
    </row>
    <row r="138" spans="3:36">
      <c r="C138" t="s">
        <v>34</v>
      </c>
      <c r="D138">
        <v>2</v>
      </c>
      <c r="E138">
        <v>2</v>
      </c>
      <c r="F138">
        <v>3</v>
      </c>
      <c r="Q138">
        <v>404</v>
      </c>
      <c r="R138">
        <v>431</v>
      </c>
      <c r="S138" s="24">
        <v>308</v>
      </c>
      <c r="T138" s="24">
        <v>354</v>
      </c>
      <c r="U138" s="24">
        <v>407</v>
      </c>
      <c r="V138" s="24">
        <v>468</v>
      </c>
      <c r="W138" s="24">
        <v>538</v>
      </c>
      <c r="X138" s="24">
        <v>619</v>
      </c>
      <c r="Y138" s="24">
        <v>712</v>
      </c>
      <c r="Z138" s="24">
        <v>819</v>
      </c>
      <c r="AA138" s="24">
        <v>942</v>
      </c>
      <c r="AB138" s="24">
        <v>1083</v>
      </c>
      <c r="AC138" s="24">
        <v>1245</v>
      </c>
      <c r="AD138" s="24">
        <v>1432</v>
      </c>
      <c r="AE138" s="24">
        <v>1647</v>
      </c>
      <c r="AF138" s="24">
        <v>1894</v>
      </c>
      <c r="AG138" s="24">
        <v>2178</v>
      </c>
      <c r="AH138" s="24">
        <v>2505</v>
      </c>
      <c r="AI138" s="24">
        <v>2881</v>
      </c>
      <c r="AJ138" s="24">
        <v>3313</v>
      </c>
    </row>
    <row r="139" spans="3:36">
      <c r="C139" t="s">
        <v>82</v>
      </c>
      <c r="D139">
        <v>2</v>
      </c>
      <c r="E139">
        <v>3</v>
      </c>
      <c r="F139">
        <v>3</v>
      </c>
      <c r="Q139">
        <v>404</v>
      </c>
      <c r="R139">
        <v>643</v>
      </c>
      <c r="S139" s="24">
        <v>621</v>
      </c>
      <c r="T139" s="24">
        <v>714</v>
      </c>
      <c r="U139" s="24">
        <v>821</v>
      </c>
      <c r="V139" s="24">
        <v>944</v>
      </c>
      <c r="W139" s="24">
        <v>1086</v>
      </c>
      <c r="X139" s="24">
        <v>1249</v>
      </c>
      <c r="Y139" s="24">
        <v>1436</v>
      </c>
      <c r="Z139" s="24">
        <v>1651</v>
      </c>
      <c r="AA139" s="24">
        <v>1899</v>
      </c>
      <c r="AB139" s="24">
        <v>2184</v>
      </c>
      <c r="AC139" s="24">
        <v>2512</v>
      </c>
      <c r="AD139" s="24">
        <v>2889</v>
      </c>
      <c r="AE139" s="24">
        <v>3322</v>
      </c>
      <c r="AF139" s="24">
        <v>3820</v>
      </c>
      <c r="AG139" s="24">
        <v>4393</v>
      </c>
      <c r="AH139" s="24">
        <v>5052</v>
      </c>
      <c r="AI139" s="24">
        <v>5810</v>
      </c>
      <c r="AJ139" s="24">
        <v>6682</v>
      </c>
    </row>
    <row r="140" spans="3:36">
      <c r="C140" t="s">
        <v>127</v>
      </c>
      <c r="D140">
        <v>2</v>
      </c>
      <c r="E140">
        <v>1</v>
      </c>
      <c r="Q140">
        <v>404</v>
      </c>
      <c r="R140">
        <v>815</v>
      </c>
      <c r="S140" s="24">
        <v>728</v>
      </c>
      <c r="T140" s="24">
        <v>837</v>
      </c>
      <c r="U140" s="24">
        <v>963</v>
      </c>
      <c r="V140" s="24">
        <v>1107</v>
      </c>
      <c r="W140" s="24">
        <v>1273</v>
      </c>
      <c r="X140" s="24">
        <v>1464</v>
      </c>
      <c r="Y140" s="24">
        <v>1684</v>
      </c>
      <c r="Z140" s="24">
        <v>1937</v>
      </c>
      <c r="AA140" s="24">
        <v>2228</v>
      </c>
      <c r="AB140" s="24">
        <v>2562</v>
      </c>
      <c r="AC140" s="24">
        <v>2946</v>
      </c>
      <c r="AD140" s="24">
        <v>3388</v>
      </c>
      <c r="AE140" s="24">
        <v>3896</v>
      </c>
      <c r="AF140" s="24">
        <v>4480</v>
      </c>
      <c r="AG140" s="24">
        <v>5152</v>
      </c>
      <c r="AH140" s="24">
        <v>5925</v>
      </c>
      <c r="AI140" s="24">
        <v>6814</v>
      </c>
      <c r="AJ140" s="24">
        <v>7836</v>
      </c>
    </row>
    <row r="144" spans="4:36">
      <c r="D144">
        <v>1</v>
      </c>
      <c r="E144">
        <f t="shared" ref="E144:E149" si="78">D144+1</f>
        <v>2</v>
      </c>
      <c r="G144">
        <v>1</v>
      </c>
      <c r="H144">
        <f t="shared" ref="H144:H149" si="79">1+G144</f>
        <v>2</v>
      </c>
      <c r="J144">
        <v>0.5</v>
      </c>
      <c r="K144">
        <f t="shared" ref="K144:K149" si="80">1+J144</f>
        <v>1.5</v>
      </c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</row>
    <row r="145" spans="4:36">
      <c r="D145">
        <v>1</v>
      </c>
      <c r="E145">
        <f t="shared" si="78"/>
        <v>2</v>
      </c>
      <c r="G145">
        <v>1</v>
      </c>
      <c r="H145">
        <f t="shared" si="79"/>
        <v>2</v>
      </c>
      <c r="J145">
        <v>1</v>
      </c>
      <c r="K145">
        <f t="shared" si="80"/>
        <v>2</v>
      </c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</row>
    <row r="146" spans="4:36">
      <c r="D146">
        <v>1.5</v>
      </c>
      <c r="E146">
        <f t="shared" si="78"/>
        <v>2.5</v>
      </c>
      <c r="G146">
        <v>1.5</v>
      </c>
      <c r="H146">
        <f t="shared" si="79"/>
        <v>2.5</v>
      </c>
      <c r="J146">
        <v>1</v>
      </c>
      <c r="K146">
        <f t="shared" si="80"/>
        <v>2</v>
      </c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</row>
    <row r="147" spans="4:36">
      <c r="D147">
        <v>1.5</v>
      </c>
      <c r="E147">
        <f t="shared" si="78"/>
        <v>2.5</v>
      </c>
      <c r="G147">
        <v>1.5</v>
      </c>
      <c r="H147">
        <f t="shared" si="79"/>
        <v>2.5</v>
      </c>
      <c r="J147">
        <v>1.5</v>
      </c>
      <c r="K147">
        <f t="shared" si="80"/>
        <v>2.5</v>
      </c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</row>
    <row r="148" spans="4:36">
      <c r="D148">
        <v>4</v>
      </c>
      <c r="E148">
        <f t="shared" si="78"/>
        <v>5</v>
      </c>
      <c r="G148">
        <v>1.5</v>
      </c>
      <c r="H148">
        <f t="shared" si="79"/>
        <v>2.5</v>
      </c>
      <c r="J148">
        <v>1.5</v>
      </c>
      <c r="K148">
        <f t="shared" si="80"/>
        <v>2.5</v>
      </c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</row>
    <row r="149" spans="4:36">
      <c r="D149">
        <v>4</v>
      </c>
      <c r="E149">
        <f t="shared" si="78"/>
        <v>5</v>
      </c>
      <c r="G149">
        <v>4</v>
      </c>
      <c r="H149">
        <f t="shared" si="79"/>
        <v>5</v>
      </c>
      <c r="J149">
        <v>1.5</v>
      </c>
      <c r="K149">
        <f t="shared" si="80"/>
        <v>2.5</v>
      </c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</row>
    <row r="150" spans="5:36">
      <c r="E150">
        <f t="shared" ref="E150:K150" si="81">PRODUCT(E144:E149)</f>
        <v>625</v>
      </c>
      <c r="H150">
        <f t="shared" si="81"/>
        <v>312.5</v>
      </c>
      <c r="K150">
        <f t="shared" si="81"/>
        <v>93.75</v>
      </c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</row>
    <row r="151" spans="19:36"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</row>
    <row r="152" spans="19:36"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</row>
    <row r="153" spans="19:36"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</row>
    <row r="154" spans="19:36"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</row>
    <row r="155" spans="19:36"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357"/>
  <sheetViews>
    <sheetView workbookViewId="0">
      <pane xSplit="6" ySplit="16" topLeftCell="G17" activePane="bottomRight" state="frozen"/>
      <selection/>
      <selection pane="topRight"/>
      <selection pane="bottomLeft"/>
      <selection pane="bottomRight" activeCell="F341" sqref="F341:F357"/>
    </sheetView>
  </sheetViews>
  <sheetFormatPr defaultColWidth="8.88888888888889" defaultRowHeight="13.8"/>
  <cols>
    <col min="1" max="1" width="14.1666666666667" style="7" customWidth="1"/>
    <col min="2" max="2" width="16.6666666666667" style="7" customWidth="1"/>
    <col min="3" max="3" width="45.7777777777778" style="7" customWidth="1"/>
    <col min="4" max="5" width="8.88888888888889" style="7"/>
    <col min="6" max="6" width="44.2222222222222" style="29" customWidth="1"/>
    <col min="7" max="7" width="10.2777777777778" style="7" customWidth="1"/>
    <col min="8" max="8" width="11.25" style="4" customWidth="1"/>
    <col min="9" max="9" width="15.2777777777778" customWidth="1"/>
    <col min="10" max="10" width="15.5555555555556" style="4" customWidth="1"/>
    <col min="11" max="11" width="12.6666666666667" customWidth="1"/>
    <col min="12" max="12" width="9.88888888888889" customWidth="1"/>
    <col min="13" max="13" width="11.2222222222222" customWidth="1"/>
    <col min="14" max="14" width="11" customWidth="1"/>
    <col min="15" max="15" width="13.2222222222222" style="7" customWidth="1"/>
    <col min="16" max="16" width="12.8888888888889" customWidth="1"/>
    <col min="17" max="17" width="14" customWidth="1"/>
    <col min="18" max="18" width="13.5555555555556" style="4" customWidth="1"/>
    <col min="19" max="19" width="8.66666666666667" customWidth="1"/>
    <col min="20" max="20" width="14" customWidth="1"/>
    <col min="21" max="21" width="11.7777777777778" customWidth="1"/>
    <col min="22" max="22" width="9.66666666666667" customWidth="1"/>
    <col min="24" max="24" width="10.7777777777778" style="7" customWidth="1"/>
    <col min="25" max="25" width="13.2222222222222" style="4" customWidth="1"/>
    <col min="26" max="26" width="13.1111111111111" style="7" customWidth="1"/>
    <col min="27" max="27" width="9" style="4" customWidth="1"/>
    <col min="28" max="28" width="12.2222222222222" customWidth="1"/>
    <col min="29" max="29" width="15.4444444444444" customWidth="1"/>
    <col min="30" max="30" width="13.8888888888889" customWidth="1"/>
    <col min="32" max="36" width="8.88888888888889" style="7"/>
    <col min="37" max="37" width="8.88888888888889" style="4"/>
  </cols>
  <sheetData>
    <row r="1" ht="16.2" spans="1:10">
      <c r="A1" s="7" t="s">
        <v>315</v>
      </c>
      <c r="D1" s="35" t="s">
        <v>316</v>
      </c>
      <c r="E1" s="35" t="s">
        <v>136</v>
      </c>
      <c r="F1" s="35" t="s">
        <v>317</v>
      </c>
      <c r="G1" s="2" t="s">
        <v>318</v>
      </c>
      <c r="H1" s="2" t="s">
        <v>319</v>
      </c>
      <c r="I1" s="2" t="s">
        <v>320</v>
      </c>
      <c r="J1" s="2" t="s">
        <v>321</v>
      </c>
    </row>
    <row r="2" ht="16.2" spans="1:10">
      <c r="A2" s="2" t="s">
        <v>4</v>
      </c>
      <c r="B2" s="2" t="s">
        <v>315</v>
      </c>
      <c r="C2" s="2"/>
      <c r="D2" s="35" t="s">
        <v>302</v>
      </c>
      <c r="E2" s="35">
        <v>11</v>
      </c>
      <c r="F2" s="35">
        <v>27</v>
      </c>
      <c r="G2" s="35">
        <v>1</v>
      </c>
      <c r="H2" s="82" t="s">
        <v>322</v>
      </c>
      <c r="I2" s="24">
        <v>0</v>
      </c>
      <c r="J2" s="54"/>
    </row>
    <row r="3" spans="1:10">
      <c r="A3" s="35" t="s">
        <v>20</v>
      </c>
      <c r="B3" s="35">
        <v>1</v>
      </c>
      <c r="C3" s="35"/>
      <c r="D3" s="35" t="s">
        <v>304</v>
      </c>
      <c r="E3" s="35">
        <v>14</v>
      </c>
      <c r="F3" s="35">
        <v>36</v>
      </c>
      <c r="G3" s="35">
        <v>2</v>
      </c>
      <c r="H3" s="82" t="s">
        <v>323</v>
      </c>
      <c r="I3" s="24">
        <v>2</v>
      </c>
      <c r="J3" s="54"/>
    </row>
    <row r="4" spans="1:10">
      <c r="A4" s="35" t="s">
        <v>34</v>
      </c>
      <c r="B4" s="35">
        <v>2</v>
      </c>
      <c r="C4" s="35"/>
      <c r="D4" s="35" t="s">
        <v>306</v>
      </c>
      <c r="E4" s="35">
        <v>18</v>
      </c>
      <c r="F4" s="35">
        <v>42</v>
      </c>
      <c r="G4" s="35">
        <v>3</v>
      </c>
      <c r="H4" s="82" t="s">
        <v>324</v>
      </c>
      <c r="I4" s="24">
        <v>1</v>
      </c>
      <c r="J4" s="54"/>
    </row>
    <row r="5" spans="1:10">
      <c r="A5" s="35" t="s">
        <v>82</v>
      </c>
      <c r="B5" s="35">
        <v>4</v>
      </c>
      <c r="C5" s="35"/>
      <c r="G5" s="35">
        <v>4</v>
      </c>
      <c r="H5" s="82" t="s">
        <v>230</v>
      </c>
      <c r="I5" s="24">
        <v>1</v>
      </c>
      <c r="J5" s="54"/>
    </row>
    <row r="6" spans="1:10">
      <c r="A6" s="35" t="s">
        <v>325</v>
      </c>
      <c r="B6" s="35">
        <v>4</v>
      </c>
      <c r="C6" s="35"/>
      <c r="G6" s="35">
        <v>5</v>
      </c>
      <c r="H6" s="82" t="s">
        <v>326</v>
      </c>
      <c r="I6" s="85">
        <v>1</v>
      </c>
      <c r="J6" s="54"/>
    </row>
    <row r="7" spans="1:21">
      <c r="A7" s="35" t="s">
        <v>327</v>
      </c>
      <c r="B7" s="35">
        <v>8</v>
      </c>
      <c r="C7" s="35"/>
      <c r="G7" s="35">
        <v>11</v>
      </c>
      <c r="H7" s="82" t="s">
        <v>136</v>
      </c>
      <c r="I7" s="24">
        <v>1</v>
      </c>
      <c r="J7" s="54"/>
      <c r="L7" s="29" t="s">
        <v>328</v>
      </c>
      <c r="M7" s="7"/>
      <c r="N7" s="7"/>
      <c r="O7" s="7" t="s">
        <v>306</v>
      </c>
      <c r="R7" s="7" t="s">
        <v>329</v>
      </c>
      <c r="S7" s="7"/>
      <c r="T7" s="7"/>
      <c r="U7" s="7" t="s">
        <v>306</v>
      </c>
    </row>
    <row r="8" spans="1:42">
      <c r="A8" s="35" t="s">
        <v>330</v>
      </c>
      <c r="B8" s="35">
        <v>16</v>
      </c>
      <c r="C8" s="35"/>
      <c r="G8" s="35">
        <v>12</v>
      </c>
      <c r="H8" s="82" t="s">
        <v>331</v>
      </c>
      <c r="I8" s="24">
        <v>1</v>
      </c>
      <c r="J8" s="54"/>
      <c r="L8" s="35" t="s">
        <v>20</v>
      </c>
      <c r="M8" s="35" t="s">
        <v>34</v>
      </c>
      <c r="N8" s="35" t="s">
        <v>82</v>
      </c>
      <c r="O8" s="35" t="s">
        <v>127</v>
      </c>
      <c r="R8" s="35" t="s">
        <v>20</v>
      </c>
      <c r="S8" s="35" t="s">
        <v>34</v>
      </c>
      <c r="T8" s="35" t="s">
        <v>82</v>
      </c>
      <c r="U8" s="35" t="s">
        <v>127</v>
      </c>
      <c r="Y8" s="29" t="s">
        <v>332</v>
      </c>
      <c r="AA8" s="7"/>
      <c r="AB8" s="7" t="s">
        <v>306</v>
      </c>
      <c r="AF8" s="29" t="s">
        <v>332</v>
      </c>
      <c r="AI8" s="7" t="s">
        <v>302</v>
      </c>
      <c r="AM8" s="29" t="s">
        <v>333</v>
      </c>
      <c r="AN8" s="7"/>
      <c r="AO8" s="7"/>
      <c r="AP8" s="7" t="s">
        <v>302</v>
      </c>
    </row>
    <row r="9" spans="7:42">
      <c r="G9" s="35">
        <v>13</v>
      </c>
      <c r="H9" s="82" t="s">
        <v>299</v>
      </c>
      <c r="I9" s="24">
        <v>1</v>
      </c>
      <c r="J9" s="54"/>
      <c r="L9" s="35"/>
      <c r="M9" s="35">
        <v>6</v>
      </c>
      <c r="N9" s="35">
        <v>5</v>
      </c>
      <c r="O9" s="35">
        <v>1</v>
      </c>
      <c r="R9" s="35"/>
      <c r="S9" s="35">
        <v>2</v>
      </c>
      <c r="T9" s="35">
        <v>8</v>
      </c>
      <c r="U9" s="35">
        <v>2</v>
      </c>
      <c r="Y9" s="35" t="s">
        <v>20</v>
      </c>
      <c r="Z9" s="35" t="s">
        <v>34</v>
      </c>
      <c r="AA9" s="35" t="s">
        <v>82</v>
      </c>
      <c r="AB9" s="35" t="s">
        <v>127</v>
      </c>
      <c r="AF9" s="35" t="s">
        <v>20</v>
      </c>
      <c r="AG9" s="35" t="s">
        <v>34</v>
      </c>
      <c r="AH9" s="35" t="s">
        <v>82</v>
      </c>
      <c r="AI9" s="35" t="s">
        <v>127</v>
      </c>
      <c r="AM9" s="35" t="s">
        <v>20</v>
      </c>
      <c r="AN9" s="35" t="s">
        <v>34</v>
      </c>
      <c r="AO9" s="35" t="s">
        <v>82</v>
      </c>
      <c r="AP9" s="35" t="s">
        <v>127</v>
      </c>
    </row>
    <row r="10" spans="7:42">
      <c r="G10" s="35">
        <v>14</v>
      </c>
      <c r="H10" s="24" t="s">
        <v>334</v>
      </c>
      <c r="I10" s="24">
        <v>1</v>
      </c>
      <c r="J10" s="24"/>
      <c r="Y10" s="35"/>
      <c r="Z10" s="35">
        <v>6</v>
      </c>
      <c r="AA10" s="35">
        <v>6</v>
      </c>
      <c r="AB10" s="35">
        <v>0</v>
      </c>
      <c r="AF10" s="35">
        <v>1</v>
      </c>
      <c r="AG10" s="35">
        <v>7</v>
      </c>
      <c r="AH10" s="35">
        <v>4</v>
      </c>
      <c r="AI10" s="35">
        <v>0</v>
      </c>
      <c r="AM10" s="35"/>
      <c r="AN10" s="35">
        <v>4</v>
      </c>
      <c r="AO10" s="35">
        <v>8</v>
      </c>
      <c r="AP10" s="35">
        <v>0</v>
      </c>
    </row>
    <row r="11" spans="7:10">
      <c r="G11" s="35">
        <v>21</v>
      </c>
      <c r="H11" s="82" t="s">
        <v>335</v>
      </c>
      <c r="I11" s="24">
        <v>0</v>
      </c>
      <c r="J11" s="54" t="s">
        <v>336</v>
      </c>
    </row>
    <row r="12" spans="7:10">
      <c r="G12" s="35">
        <v>22</v>
      </c>
      <c r="H12" s="82" t="s">
        <v>337</v>
      </c>
      <c r="I12" s="24">
        <v>0</v>
      </c>
      <c r="J12" s="54" t="s">
        <v>338</v>
      </c>
    </row>
    <row r="13" spans="7:10">
      <c r="G13" s="35">
        <v>23</v>
      </c>
      <c r="H13" s="82" t="s">
        <v>339</v>
      </c>
      <c r="I13" s="24">
        <v>0</v>
      </c>
      <c r="J13" s="54" t="s">
        <v>340</v>
      </c>
    </row>
    <row r="14" spans="7:10">
      <c r="G14" s="35">
        <v>24</v>
      </c>
      <c r="H14" s="82" t="s">
        <v>341</v>
      </c>
      <c r="I14" s="24">
        <v>0</v>
      </c>
      <c r="J14" s="54" t="s">
        <v>56</v>
      </c>
    </row>
    <row r="15" spans="7:10">
      <c r="G15" s="35">
        <v>25</v>
      </c>
      <c r="H15" s="82" t="s">
        <v>342</v>
      </c>
      <c r="I15" s="24">
        <v>0</v>
      </c>
      <c r="J15" s="54" t="s">
        <v>290</v>
      </c>
    </row>
    <row r="16" spans="7:10">
      <c r="G16" s="35">
        <v>26</v>
      </c>
      <c r="H16" s="82" t="s">
        <v>343</v>
      </c>
      <c r="I16" s="24">
        <v>0</v>
      </c>
      <c r="J16" s="54" t="s">
        <v>344</v>
      </c>
    </row>
    <row r="17" ht="16.2" spans="1:44">
      <c r="A17" s="49" t="s">
        <v>0</v>
      </c>
      <c r="B17" s="49" t="s">
        <v>345</v>
      </c>
      <c r="C17" s="49" t="s">
        <v>346</v>
      </c>
      <c r="D17" s="49" t="s">
        <v>347</v>
      </c>
      <c r="E17" s="49" t="s">
        <v>136</v>
      </c>
      <c r="F17" s="49" t="s">
        <v>346</v>
      </c>
      <c r="G17" s="49" t="s">
        <v>348</v>
      </c>
      <c r="H17" s="49" t="s">
        <v>349</v>
      </c>
      <c r="I17" s="49" t="s">
        <v>348</v>
      </c>
      <c r="J17" s="49" t="s">
        <v>349</v>
      </c>
      <c r="K17" s="2" t="s">
        <v>350</v>
      </c>
      <c r="L17" s="2" t="s">
        <v>351</v>
      </c>
      <c r="M17" s="2" t="s">
        <v>318</v>
      </c>
      <c r="N17" s="2" t="s">
        <v>352</v>
      </c>
      <c r="O17" s="2" t="s">
        <v>353</v>
      </c>
      <c r="P17" s="2" t="s">
        <v>354</v>
      </c>
      <c r="R17" s="2" t="s">
        <v>350</v>
      </c>
      <c r="S17" s="2" t="s">
        <v>351</v>
      </c>
      <c r="T17" s="2" t="s">
        <v>318</v>
      </c>
      <c r="U17" s="2" t="s">
        <v>352</v>
      </c>
      <c r="V17" s="2" t="s">
        <v>353</v>
      </c>
      <c r="W17" s="2" t="s">
        <v>354</v>
      </c>
      <c r="Y17" s="2" t="s">
        <v>350</v>
      </c>
      <c r="Z17" s="2" t="s">
        <v>351</v>
      </c>
      <c r="AA17" s="2" t="s">
        <v>318</v>
      </c>
      <c r="AB17" s="2" t="s">
        <v>352</v>
      </c>
      <c r="AC17" s="2" t="s">
        <v>353</v>
      </c>
      <c r="AD17" s="2" t="s">
        <v>354</v>
      </c>
      <c r="AF17" s="2" t="s">
        <v>350</v>
      </c>
      <c r="AG17" s="2" t="s">
        <v>351</v>
      </c>
      <c r="AH17" s="2" t="s">
        <v>318</v>
      </c>
      <c r="AI17" s="2" t="s">
        <v>352</v>
      </c>
      <c r="AJ17" s="2" t="s">
        <v>353</v>
      </c>
      <c r="AK17" s="2" t="s">
        <v>354</v>
      </c>
      <c r="AM17" s="2" t="s">
        <v>350</v>
      </c>
      <c r="AN17" s="2" t="s">
        <v>351</v>
      </c>
      <c r="AO17" s="2" t="s">
        <v>318</v>
      </c>
      <c r="AP17" s="2" t="s">
        <v>352</v>
      </c>
      <c r="AQ17" s="2" t="s">
        <v>353</v>
      </c>
      <c r="AR17" s="2" t="s">
        <v>354</v>
      </c>
    </row>
    <row r="18" spans="1:44">
      <c r="A18" s="35">
        <v>101</v>
      </c>
      <c r="B18" s="35" t="s">
        <v>17</v>
      </c>
      <c r="C18" s="41" t="s">
        <v>355</v>
      </c>
      <c r="D18" s="35">
        <v>1</v>
      </c>
      <c r="E18" s="35">
        <v>99</v>
      </c>
      <c r="F18" s="41" t="s">
        <v>356</v>
      </c>
      <c r="G18" s="83" t="s">
        <v>324</v>
      </c>
      <c r="H18" s="24">
        <v>0.25</v>
      </c>
      <c r="I18" s="54"/>
      <c r="J18" s="24"/>
      <c r="K18" s="7">
        <v>0</v>
      </c>
      <c r="L18" s="7">
        <v>0</v>
      </c>
      <c r="M18" s="7" t="s">
        <v>324</v>
      </c>
      <c r="N18" s="4">
        <v>5</v>
      </c>
      <c r="O18" s="4">
        <f>PRODUCT(N17:N33)</f>
        <v>400</v>
      </c>
      <c r="P18" s="4">
        <f>O18</f>
        <v>400</v>
      </c>
      <c r="R18"/>
      <c r="T18" s="7" t="s">
        <v>324</v>
      </c>
      <c r="U18" s="4">
        <v>8</v>
      </c>
      <c r="V18" s="7">
        <f>PRODUCT(U17:U33)</f>
        <v>768</v>
      </c>
      <c r="W18" s="4">
        <f>V18</f>
        <v>768</v>
      </c>
      <c r="AA18" s="7" t="s">
        <v>324</v>
      </c>
      <c r="AB18" s="7">
        <v>4.5</v>
      </c>
      <c r="AC18" s="7">
        <f>PRODUCT(AB18:AB31)</f>
        <v>20.25</v>
      </c>
      <c r="AF18" s="7">
        <v>1</v>
      </c>
      <c r="AG18" s="7">
        <v>1</v>
      </c>
      <c r="AH18" s="7" t="s">
        <v>324</v>
      </c>
      <c r="AI18" s="7">
        <v>4.25</v>
      </c>
      <c r="AJ18" s="7">
        <f>PRODUCT(AI18:AI34)</f>
        <v>14.875</v>
      </c>
      <c r="AK18" s="4">
        <f>AJ18</f>
        <v>14.875</v>
      </c>
      <c r="AO18" s="7" t="s">
        <v>324</v>
      </c>
      <c r="AP18" s="7">
        <v>5</v>
      </c>
      <c r="AQ18" s="4">
        <f>PRODUCT(AP18:AP34)</f>
        <v>25</v>
      </c>
      <c r="AR18" s="4">
        <f>AQ18</f>
        <v>25</v>
      </c>
    </row>
    <row r="19" spans="1:42">
      <c r="A19" s="35">
        <v>102</v>
      </c>
      <c r="B19" s="35" t="s">
        <v>17</v>
      </c>
      <c r="C19" s="41" t="s">
        <v>322</v>
      </c>
      <c r="D19" s="35">
        <v>1</v>
      </c>
      <c r="E19" s="35">
        <v>99</v>
      </c>
      <c r="F19" s="41" t="s">
        <v>357</v>
      </c>
      <c r="G19" s="83" t="s">
        <v>358</v>
      </c>
      <c r="H19" s="24">
        <v>0.15</v>
      </c>
      <c r="I19" s="54"/>
      <c r="J19" s="24"/>
      <c r="K19" s="7">
        <v>0</v>
      </c>
      <c r="L19" s="7">
        <v>0</v>
      </c>
      <c r="M19" s="7" t="s">
        <v>359</v>
      </c>
      <c r="N19" s="4">
        <v>4</v>
      </c>
      <c r="O19"/>
      <c r="P19" s="4"/>
      <c r="R19"/>
      <c r="T19" s="7" t="s">
        <v>359</v>
      </c>
      <c r="U19" s="4">
        <v>4</v>
      </c>
      <c r="V19" s="7"/>
      <c r="W19" s="4"/>
      <c r="AA19" s="7" t="s">
        <v>359</v>
      </c>
      <c r="AB19" s="7">
        <v>4.5</v>
      </c>
      <c r="AH19" s="7" t="s">
        <v>359</v>
      </c>
      <c r="AI19" s="7">
        <v>3.5</v>
      </c>
      <c r="AO19" s="7" t="s">
        <v>359</v>
      </c>
      <c r="AP19" s="7">
        <v>5</v>
      </c>
    </row>
    <row r="20" spans="1:23">
      <c r="A20" s="35">
        <v>103</v>
      </c>
      <c r="B20" s="35" t="s">
        <v>17</v>
      </c>
      <c r="C20" s="41" t="s">
        <v>360</v>
      </c>
      <c r="D20" s="35">
        <v>1</v>
      </c>
      <c r="E20" s="35">
        <v>99</v>
      </c>
      <c r="F20" s="41" t="s">
        <v>361</v>
      </c>
      <c r="G20" s="83" t="s">
        <v>230</v>
      </c>
      <c r="H20" s="24">
        <v>0.1</v>
      </c>
      <c r="I20" s="54"/>
      <c r="J20" s="24"/>
      <c r="K20" s="7">
        <v>0</v>
      </c>
      <c r="L20" s="7">
        <v>0</v>
      </c>
      <c r="M20" s="7" t="s">
        <v>331</v>
      </c>
      <c r="N20" s="4">
        <v>2</v>
      </c>
      <c r="O20"/>
      <c r="P20" s="4"/>
      <c r="R20"/>
      <c r="T20" s="7" t="s">
        <v>331</v>
      </c>
      <c r="U20" s="4">
        <v>4</v>
      </c>
      <c r="V20" s="7"/>
      <c r="W20" s="4"/>
    </row>
    <row r="21" spans="1:40">
      <c r="A21" s="35">
        <v>111</v>
      </c>
      <c r="B21" s="35" t="s">
        <v>17</v>
      </c>
      <c r="C21" s="44" t="s">
        <v>355</v>
      </c>
      <c r="D21" s="35">
        <v>1</v>
      </c>
      <c r="E21" s="35">
        <v>99</v>
      </c>
      <c r="F21" s="44" t="s">
        <v>362</v>
      </c>
      <c r="G21" s="83" t="s">
        <v>324</v>
      </c>
      <c r="H21" s="24">
        <v>0.5</v>
      </c>
      <c r="I21" s="54"/>
      <c r="J21" s="24"/>
      <c r="K21" s="7">
        <v>1</v>
      </c>
      <c r="L21" s="7">
        <v>2</v>
      </c>
      <c r="M21" s="7" t="s">
        <v>339</v>
      </c>
      <c r="N21" s="4">
        <v>2</v>
      </c>
      <c r="O21"/>
      <c r="P21" s="4"/>
      <c r="R21"/>
      <c r="T21" s="7" t="s">
        <v>339</v>
      </c>
      <c r="U21" s="4">
        <v>2</v>
      </c>
      <c r="V21" s="7"/>
      <c r="W21" s="4"/>
      <c r="Y21" s="4">
        <v>1</v>
      </c>
      <c r="Z21" s="7">
        <v>3</v>
      </c>
      <c r="AF21" s="7">
        <v>1</v>
      </c>
      <c r="AG21" s="7">
        <v>4</v>
      </c>
      <c r="AM21" s="4">
        <v>1</v>
      </c>
      <c r="AN21" s="4">
        <v>2</v>
      </c>
    </row>
    <row r="22" spans="1:40">
      <c r="A22" s="35">
        <v>112</v>
      </c>
      <c r="B22" s="35" t="s">
        <v>17</v>
      </c>
      <c r="C22" s="44" t="s">
        <v>322</v>
      </c>
      <c r="D22" s="35">
        <v>1</v>
      </c>
      <c r="E22" s="35">
        <v>99</v>
      </c>
      <c r="F22" s="44" t="s">
        <v>363</v>
      </c>
      <c r="G22" s="83" t="s">
        <v>358</v>
      </c>
      <c r="H22" s="24">
        <v>0.25</v>
      </c>
      <c r="I22" s="54"/>
      <c r="J22" s="24"/>
      <c r="K22" s="7">
        <v>0</v>
      </c>
      <c r="L22" s="7">
        <v>0</v>
      </c>
      <c r="M22" s="7" t="s">
        <v>334</v>
      </c>
      <c r="N22" s="4">
        <v>5</v>
      </c>
      <c r="O22"/>
      <c r="P22" s="4"/>
      <c r="R22"/>
      <c r="T22" s="7" t="s">
        <v>334</v>
      </c>
      <c r="U22" s="4">
        <v>3</v>
      </c>
      <c r="V22" s="7"/>
      <c r="W22" s="4"/>
      <c r="AM22" s="4"/>
      <c r="AN22" s="4"/>
    </row>
    <row r="23" spans="1:40">
      <c r="A23" s="35">
        <v>113</v>
      </c>
      <c r="B23" s="35" t="s">
        <v>17</v>
      </c>
      <c r="C23" s="44" t="s">
        <v>359</v>
      </c>
      <c r="D23" s="35">
        <v>1</v>
      </c>
      <c r="E23" s="35">
        <v>99</v>
      </c>
      <c r="F23" s="44" t="s">
        <v>364</v>
      </c>
      <c r="G23" s="83" t="s">
        <v>359</v>
      </c>
      <c r="H23" s="24">
        <v>0.5</v>
      </c>
      <c r="I23" s="54"/>
      <c r="J23" s="24"/>
      <c r="K23" s="7">
        <v>1</v>
      </c>
      <c r="L23" s="7">
        <v>2</v>
      </c>
      <c r="M23" s="7"/>
      <c r="O23"/>
      <c r="P23" s="4"/>
      <c r="R23"/>
      <c r="T23" s="7"/>
      <c r="U23" s="4"/>
      <c r="V23" s="7"/>
      <c r="W23" s="4"/>
      <c r="Y23" s="4">
        <v>1</v>
      </c>
      <c r="Z23" s="7">
        <v>3</v>
      </c>
      <c r="AF23" s="7">
        <v>1</v>
      </c>
      <c r="AG23" s="7">
        <v>3</v>
      </c>
      <c r="AM23" s="4">
        <v>1</v>
      </c>
      <c r="AN23" s="4">
        <v>2</v>
      </c>
    </row>
    <row r="24" spans="1:23">
      <c r="A24" s="35">
        <v>114</v>
      </c>
      <c r="B24" s="35" t="s">
        <v>17</v>
      </c>
      <c r="C24" s="44" t="s">
        <v>360</v>
      </c>
      <c r="D24" s="35">
        <v>1</v>
      </c>
      <c r="E24" s="35">
        <v>99</v>
      </c>
      <c r="F24" s="44" t="s">
        <v>365</v>
      </c>
      <c r="G24" s="83" t="s">
        <v>230</v>
      </c>
      <c r="H24" s="24">
        <v>0.2</v>
      </c>
      <c r="I24" s="54"/>
      <c r="J24" s="24"/>
      <c r="K24" s="7">
        <v>0</v>
      </c>
      <c r="L24" s="7">
        <v>0</v>
      </c>
      <c r="M24" s="7"/>
      <c r="O24"/>
      <c r="P24" s="4"/>
      <c r="R24"/>
      <c r="V24" s="7"/>
      <c r="W24" s="4"/>
    </row>
    <row r="25" spans="1:40">
      <c r="A25" s="35">
        <v>121</v>
      </c>
      <c r="B25" s="35" t="s">
        <v>17</v>
      </c>
      <c r="C25" s="46" t="s">
        <v>355</v>
      </c>
      <c r="D25" s="35">
        <v>1</v>
      </c>
      <c r="E25" s="35">
        <v>99</v>
      </c>
      <c r="F25" s="46" t="s">
        <v>366</v>
      </c>
      <c r="G25" s="83" t="s">
        <v>324</v>
      </c>
      <c r="H25" s="24">
        <v>1</v>
      </c>
      <c r="I25" s="54"/>
      <c r="J25" s="24"/>
      <c r="K25" s="7">
        <v>1</v>
      </c>
      <c r="L25" s="7">
        <v>1</v>
      </c>
      <c r="M25" s="7"/>
      <c r="O25"/>
      <c r="P25" s="4"/>
      <c r="R25" s="4">
        <v>1</v>
      </c>
      <c r="S25" s="7">
        <v>3</v>
      </c>
      <c r="U25" s="7"/>
      <c r="V25" s="7"/>
      <c r="W25" s="4"/>
      <c r="Y25" s="4">
        <v>1</v>
      </c>
      <c r="Z25" s="7">
        <v>2</v>
      </c>
      <c r="AF25" s="7">
        <v>1</v>
      </c>
      <c r="AG25" s="7">
        <v>1</v>
      </c>
      <c r="AM25" s="4">
        <v>1</v>
      </c>
      <c r="AN25" s="4">
        <v>3</v>
      </c>
    </row>
    <row r="26" spans="1:40">
      <c r="A26" s="35">
        <v>122</v>
      </c>
      <c r="B26" s="35" t="s">
        <v>17</v>
      </c>
      <c r="C26" s="46" t="s">
        <v>322</v>
      </c>
      <c r="D26" s="35">
        <v>1</v>
      </c>
      <c r="E26" s="35">
        <v>99</v>
      </c>
      <c r="F26" s="46" t="s">
        <v>367</v>
      </c>
      <c r="G26" s="83" t="s">
        <v>358</v>
      </c>
      <c r="H26" s="24">
        <v>0.5</v>
      </c>
      <c r="I26" s="54"/>
      <c r="J26" s="24"/>
      <c r="K26" s="7">
        <v>1</v>
      </c>
      <c r="L26" s="7">
        <v>1</v>
      </c>
      <c r="M26" s="7"/>
      <c r="O26"/>
      <c r="P26" s="4"/>
      <c r="R26" s="4">
        <v>1</v>
      </c>
      <c r="S26" s="7">
        <v>1</v>
      </c>
      <c r="U26" s="7"/>
      <c r="V26" s="7"/>
      <c r="W26" s="4"/>
      <c r="Y26" s="4">
        <v>1</v>
      </c>
      <c r="Z26" s="7">
        <v>2</v>
      </c>
      <c r="AF26" s="7">
        <v>1</v>
      </c>
      <c r="AG26" s="7">
        <v>2</v>
      </c>
      <c r="AM26" s="4">
        <v>1</v>
      </c>
      <c r="AN26" s="4">
        <v>2</v>
      </c>
    </row>
    <row r="27" spans="1:40">
      <c r="A27" s="35">
        <v>123</v>
      </c>
      <c r="B27" s="35" t="s">
        <v>17</v>
      </c>
      <c r="C27" s="46" t="s">
        <v>359</v>
      </c>
      <c r="D27" s="35">
        <v>1</v>
      </c>
      <c r="E27" s="35">
        <v>99</v>
      </c>
      <c r="F27" s="46" t="s">
        <v>368</v>
      </c>
      <c r="G27" s="83" t="s">
        <v>359</v>
      </c>
      <c r="H27" s="24">
        <v>1</v>
      </c>
      <c r="I27" s="54"/>
      <c r="J27" s="24"/>
      <c r="K27" s="7">
        <v>1</v>
      </c>
      <c r="L27" s="7">
        <v>1</v>
      </c>
      <c r="M27" s="7"/>
      <c r="O27"/>
      <c r="P27" s="4"/>
      <c r="R27" s="4">
        <v>1</v>
      </c>
      <c r="S27" s="7">
        <v>2</v>
      </c>
      <c r="U27" s="7"/>
      <c r="V27" s="7"/>
      <c r="W27" s="4"/>
      <c r="Y27" s="4">
        <v>1</v>
      </c>
      <c r="Z27" s="7">
        <v>2</v>
      </c>
      <c r="AF27" s="7">
        <v>1</v>
      </c>
      <c r="AG27" s="7">
        <v>1</v>
      </c>
      <c r="AM27" s="4">
        <v>1</v>
      </c>
      <c r="AN27" s="4">
        <v>3</v>
      </c>
    </row>
    <row r="28" spans="1:23">
      <c r="A28" s="35">
        <v>124</v>
      </c>
      <c r="B28" s="35" t="s">
        <v>17</v>
      </c>
      <c r="C28" s="46" t="s">
        <v>360</v>
      </c>
      <c r="D28" s="35">
        <v>1</v>
      </c>
      <c r="E28" s="35">
        <v>99</v>
      </c>
      <c r="F28" s="46" t="s">
        <v>369</v>
      </c>
      <c r="G28" s="83" t="s">
        <v>230</v>
      </c>
      <c r="H28" s="24">
        <v>0.3</v>
      </c>
      <c r="I28" s="54"/>
      <c r="J28" s="24"/>
      <c r="K28" s="7">
        <v>0</v>
      </c>
      <c r="L28" s="7">
        <v>0</v>
      </c>
      <c r="M28" s="7"/>
      <c r="O28"/>
      <c r="P28" s="4"/>
      <c r="V28" s="7"/>
      <c r="W28" s="4"/>
    </row>
    <row r="29" spans="1:23">
      <c r="A29" s="35">
        <v>131</v>
      </c>
      <c r="B29" s="35" t="s">
        <v>17</v>
      </c>
      <c r="C29" s="44" t="s">
        <v>24</v>
      </c>
      <c r="D29" s="35">
        <v>1</v>
      </c>
      <c r="E29" s="35">
        <v>1</v>
      </c>
      <c r="F29" s="44" t="s">
        <v>24</v>
      </c>
      <c r="G29" s="83" t="s">
        <v>331</v>
      </c>
      <c r="H29" s="24">
        <v>1</v>
      </c>
      <c r="I29" s="54"/>
      <c r="J29" s="24"/>
      <c r="K29" s="7">
        <v>1</v>
      </c>
      <c r="L29" s="7">
        <v>1</v>
      </c>
      <c r="M29" s="7"/>
      <c r="O29"/>
      <c r="P29" s="4"/>
      <c r="R29" s="4">
        <v>1</v>
      </c>
      <c r="V29" s="7"/>
      <c r="W29" s="4"/>
    </row>
    <row r="30" spans="1:23">
      <c r="A30" s="35">
        <v>132</v>
      </c>
      <c r="B30" s="35" t="s">
        <v>17</v>
      </c>
      <c r="C30" s="44" t="s">
        <v>25</v>
      </c>
      <c r="D30" s="35">
        <v>1</v>
      </c>
      <c r="E30" s="35">
        <v>1</v>
      </c>
      <c r="F30" s="44" t="s">
        <v>370</v>
      </c>
      <c r="G30" s="83" t="s">
        <v>339</v>
      </c>
      <c r="H30" s="24">
        <v>1</v>
      </c>
      <c r="I30" s="54"/>
      <c r="J30" s="24"/>
      <c r="K30" s="7">
        <v>1</v>
      </c>
      <c r="L30" s="7">
        <v>1</v>
      </c>
      <c r="M30" s="7"/>
      <c r="O30"/>
      <c r="P30" s="4"/>
      <c r="R30" s="4">
        <v>1</v>
      </c>
      <c r="V30" s="7"/>
      <c r="W30" s="4"/>
    </row>
    <row r="31" spans="1:23">
      <c r="A31" s="35">
        <v>141</v>
      </c>
      <c r="B31" s="35" t="s">
        <v>17</v>
      </c>
      <c r="C31" s="46" t="s">
        <v>26</v>
      </c>
      <c r="D31" s="35">
        <v>1</v>
      </c>
      <c r="E31" s="35">
        <v>1</v>
      </c>
      <c r="F31" s="46" t="s">
        <v>26</v>
      </c>
      <c r="G31" s="83" t="s">
        <v>324</v>
      </c>
      <c r="H31" s="24">
        <v>2</v>
      </c>
      <c r="I31" s="54"/>
      <c r="J31" s="24"/>
      <c r="K31" s="7">
        <v>1</v>
      </c>
      <c r="L31" s="7">
        <v>1</v>
      </c>
      <c r="M31" s="7"/>
      <c r="O31"/>
      <c r="P31" s="4"/>
      <c r="R31" s="4">
        <v>1</v>
      </c>
      <c r="V31" s="7"/>
      <c r="W31" s="4"/>
    </row>
    <row r="32" spans="1:23">
      <c r="A32" s="35">
        <v>142</v>
      </c>
      <c r="B32" s="35" t="s">
        <v>17</v>
      </c>
      <c r="C32" s="46" t="s">
        <v>27</v>
      </c>
      <c r="D32" s="35">
        <v>1</v>
      </c>
      <c r="E32" s="35">
        <v>1</v>
      </c>
      <c r="F32" s="46" t="s">
        <v>27</v>
      </c>
      <c r="G32" s="83" t="s">
        <v>358</v>
      </c>
      <c r="H32" s="24">
        <v>0.5</v>
      </c>
      <c r="I32" s="54" t="s">
        <v>359</v>
      </c>
      <c r="J32" s="24">
        <v>1</v>
      </c>
      <c r="K32" s="7">
        <v>1</v>
      </c>
      <c r="L32" s="7">
        <v>1</v>
      </c>
      <c r="M32" s="7"/>
      <c r="O32"/>
      <c r="P32" s="4"/>
      <c r="R32" s="4">
        <v>1</v>
      </c>
      <c r="V32" s="7"/>
      <c r="W32" s="4"/>
    </row>
    <row r="33" spans="1:23">
      <c r="A33" s="35">
        <v>151</v>
      </c>
      <c r="B33" s="35" t="s">
        <v>17</v>
      </c>
      <c r="C33" s="47" t="s">
        <v>28</v>
      </c>
      <c r="D33" s="35">
        <v>1</v>
      </c>
      <c r="E33" s="35">
        <v>1</v>
      </c>
      <c r="F33" s="47" t="s">
        <v>371</v>
      </c>
      <c r="G33" s="83" t="s">
        <v>334</v>
      </c>
      <c r="H33" s="24">
        <v>4</v>
      </c>
      <c r="I33" s="54"/>
      <c r="J33" s="24"/>
      <c r="K33" s="7">
        <v>1</v>
      </c>
      <c r="L33" s="7">
        <v>1</v>
      </c>
      <c r="M33" s="7"/>
      <c r="O33"/>
      <c r="P33" s="4"/>
      <c r="R33" s="4">
        <v>1</v>
      </c>
      <c r="V33" s="7"/>
      <c r="W33" s="4"/>
    </row>
    <row r="34" s="36" customFormat="1" ht="14.55" spans="1:37">
      <c r="A34" s="72">
        <v>152</v>
      </c>
      <c r="B34" s="72" t="s">
        <v>17</v>
      </c>
      <c r="C34" s="48" t="s">
        <v>29</v>
      </c>
      <c r="D34" s="72">
        <v>1</v>
      </c>
      <c r="E34" s="72">
        <v>1</v>
      </c>
      <c r="F34" s="48" t="s">
        <v>29</v>
      </c>
      <c r="G34" s="84" t="s">
        <v>331</v>
      </c>
      <c r="H34" s="79">
        <v>2</v>
      </c>
      <c r="I34" s="86" t="s">
        <v>324</v>
      </c>
      <c r="J34" s="79">
        <v>2</v>
      </c>
      <c r="K34" s="87">
        <v>0</v>
      </c>
      <c r="L34" s="87">
        <v>0</v>
      </c>
      <c r="O34" s="87"/>
      <c r="R34" s="81">
        <v>1</v>
      </c>
      <c r="V34" s="87"/>
      <c r="W34" s="81"/>
      <c r="Z34" s="87"/>
      <c r="AA34" s="81"/>
      <c r="AF34" s="87"/>
      <c r="AG34" s="87"/>
      <c r="AH34" s="87"/>
      <c r="AI34" s="87"/>
      <c r="AJ34" s="87"/>
      <c r="AK34" s="81"/>
    </row>
    <row r="35" spans="1:10">
      <c r="A35" s="78">
        <f>A18+100</f>
        <v>201</v>
      </c>
      <c r="B35" s="78" t="s">
        <v>32</v>
      </c>
      <c r="C35" s="76" t="s">
        <v>355</v>
      </c>
      <c r="D35" s="78">
        <v>2</v>
      </c>
      <c r="E35" s="78">
        <f>E18</f>
        <v>99</v>
      </c>
      <c r="F35" s="41" t="s">
        <v>356</v>
      </c>
      <c r="G35" s="78" t="s">
        <v>324</v>
      </c>
      <c r="H35" s="80">
        <v>0.25</v>
      </c>
      <c r="I35" s="88"/>
      <c r="J35" s="80"/>
    </row>
    <row r="36" spans="1:10">
      <c r="A36" s="35">
        <f t="shared" ref="A36:A51" si="0">A19+100</f>
        <v>202</v>
      </c>
      <c r="B36" s="35" t="s">
        <v>32</v>
      </c>
      <c r="C36" s="41" t="s">
        <v>322</v>
      </c>
      <c r="D36" s="35">
        <v>2</v>
      </c>
      <c r="E36" s="35">
        <f t="shared" ref="E36:E99" si="1">E19</f>
        <v>99</v>
      </c>
      <c r="F36" s="41" t="s">
        <v>357</v>
      </c>
      <c r="G36" s="35" t="s">
        <v>358</v>
      </c>
      <c r="H36" s="24">
        <v>0.15</v>
      </c>
      <c r="I36" s="54"/>
      <c r="J36" s="24"/>
    </row>
    <row r="37" spans="1:10">
      <c r="A37" s="35">
        <f t="shared" si="0"/>
        <v>203</v>
      </c>
      <c r="B37" s="35" t="s">
        <v>32</v>
      </c>
      <c r="C37" s="41" t="s">
        <v>360</v>
      </c>
      <c r="D37" s="35">
        <v>2</v>
      </c>
      <c r="E37" s="35">
        <f t="shared" si="1"/>
        <v>99</v>
      </c>
      <c r="F37" s="41" t="s">
        <v>361</v>
      </c>
      <c r="G37" s="35" t="s">
        <v>230</v>
      </c>
      <c r="H37" s="24">
        <v>0.1</v>
      </c>
      <c r="I37" s="54"/>
      <c r="J37" s="24"/>
    </row>
    <row r="38" spans="1:10">
      <c r="A38" s="35">
        <f t="shared" si="0"/>
        <v>211</v>
      </c>
      <c r="B38" s="35" t="s">
        <v>32</v>
      </c>
      <c r="C38" s="44" t="s">
        <v>355</v>
      </c>
      <c r="D38" s="35">
        <v>2</v>
      </c>
      <c r="E38" s="35">
        <f t="shared" si="1"/>
        <v>99</v>
      </c>
      <c r="F38" s="44" t="s">
        <v>362</v>
      </c>
      <c r="G38" s="35" t="s">
        <v>324</v>
      </c>
      <c r="H38" s="24">
        <v>0.5</v>
      </c>
      <c r="I38" s="54"/>
      <c r="J38" s="24"/>
    </row>
    <row r="39" spans="1:10">
      <c r="A39" s="35">
        <f t="shared" si="0"/>
        <v>212</v>
      </c>
      <c r="B39" s="35" t="s">
        <v>32</v>
      </c>
      <c r="C39" s="44" t="s">
        <v>322</v>
      </c>
      <c r="D39" s="35">
        <v>2</v>
      </c>
      <c r="E39" s="35">
        <f t="shared" si="1"/>
        <v>99</v>
      </c>
      <c r="F39" s="44" t="s">
        <v>363</v>
      </c>
      <c r="G39" s="35" t="s">
        <v>358</v>
      </c>
      <c r="H39" s="24">
        <v>0.25</v>
      </c>
      <c r="I39" s="54"/>
      <c r="J39" s="24"/>
    </row>
    <row r="40" spans="1:10">
      <c r="A40" s="35">
        <f t="shared" si="0"/>
        <v>213</v>
      </c>
      <c r="B40" s="35" t="s">
        <v>32</v>
      </c>
      <c r="C40" s="44" t="s">
        <v>359</v>
      </c>
      <c r="D40" s="35">
        <v>2</v>
      </c>
      <c r="E40" s="35">
        <f t="shared" si="1"/>
        <v>99</v>
      </c>
      <c r="F40" s="44" t="s">
        <v>364</v>
      </c>
      <c r="G40" s="35" t="s">
        <v>359</v>
      </c>
      <c r="H40" s="24">
        <v>0.5</v>
      </c>
      <c r="I40" s="54"/>
      <c r="J40" s="24"/>
    </row>
    <row r="41" spans="1:10">
      <c r="A41" s="35">
        <f t="shared" si="0"/>
        <v>214</v>
      </c>
      <c r="B41" s="35" t="s">
        <v>32</v>
      </c>
      <c r="C41" s="44" t="s">
        <v>360</v>
      </c>
      <c r="D41" s="35">
        <v>2</v>
      </c>
      <c r="E41" s="35">
        <f t="shared" si="1"/>
        <v>99</v>
      </c>
      <c r="F41" s="44" t="s">
        <v>365</v>
      </c>
      <c r="G41" s="35" t="s">
        <v>230</v>
      </c>
      <c r="H41" s="24">
        <v>0.2</v>
      </c>
      <c r="I41" s="54"/>
      <c r="J41" s="24"/>
    </row>
    <row r="42" spans="1:10">
      <c r="A42" s="35">
        <f t="shared" si="0"/>
        <v>221</v>
      </c>
      <c r="B42" s="35" t="s">
        <v>32</v>
      </c>
      <c r="C42" s="46" t="s">
        <v>355</v>
      </c>
      <c r="D42" s="35">
        <v>2</v>
      </c>
      <c r="E42" s="35">
        <f t="shared" si="1"/>
        <v>99</v>
      </c>
      <c r="F42" s="46" t="s">
        <v>366</v>
      </c>
      <c r="G42" s="35" t="s">
        <v>324</v>
      </c>
      <c r="H42" s="24">
        <v>1</v>
      </c>
      <c r="I42" s="54"/>
      <c r="J42" s="24"/>
    </row>
    <row r="43" spans="1:10">
      <c r="A43" s="35">
        <f t="shared" si="0"/>
        <v>222</v>
      </c>
      <c r="B43" s="35" t="s">
        <v>32</v>
      </c>
      <c r="C43" s="46" t="s">
        <v>322</v>
      </c>
      <c r="D43" s="35">
        <v>2</v>
      </c>
      <c r="E43" s="35">
        <f t="shared" si="1"/>
        <v>99</v>
      </c>
      <c r="F43" s="46" t="s">
        <v>367</v>
      </c>
      <c r="G43" s="35" t="s">
        <v>358</v>
      </c>
      <c r="H43" s="24">
        <v>0.5</v>
      </c>
      <c r="I43" s="54"/>
      <c r="J43" s="24"/>
    </row>
    <row r="44" spans="1:10">
      <c r="A44" s="35">
        <f t="shared" si="0"/>
        <v>223</v>
      </c>
      <c r="B44" s="35" t="s">
        <v>32</v>
      </c>
      <c r="C44" s="46" t="s">
        <v>359</v>
      </c>
      <c r="D44" s="35">
        <v>2</v>
      </c>
      <c r="E44" s="35">
        <f t="shared" si="1"/>
        <v>99</v>
      </c>
      <c r="F44" s="46" t="s">
        <v>368</v>
      </c>
      <c r="G44" s="35" t="s">
        <v>359</v>
      </c>
      <c r="H44" s="24">
        <v>1</v>
      </c>
      <c r="I44" s="54"/>
      <c r="J44" s="24"/>
    </row>
    <row r="45" spans="1:10">
      <c r="A45" s="35">
        <f t="shared" si="0"/>
        <v>224</v>
      </c>
      <c r="B45" s="35" t="s">
        <v>32</v>
      </c>
      <c r="C45" s="46" t="s">
        <v>360</v>
      </c>
      <c r="D45" s="35">
        <v>2</v>
      </c>
      <c r="E45" s="35">
        <f t="shared" si="1"/>
        <v>99</v>
      </c>
      <c r="F45" s="46" t="s">
        <v>369</v>
      </c>
      <c r="G45" s="35" t="s">
        <v>230</v>
      </c>
      <c r="H45" s="24">
        <v>0.3</v>
      </c>
      <c r="I45" s="54"/>
      <c r="J45" s="24"/>
    </row>
    <row r="46" spans="1:10">
      <c r="A46" s="35">
        <f t="shared" si="0"/>
        <v>231</v>
      </c>
      <c r="B46" s="35" t="s">
        <v>32</v>
      </c>
      <c r="C46" s="44" t="s">
        <v>35</v>
      </c>
      <c r="D46" s="35">
        <v>2</v>
      </c>
      <c r="E46" s="35">
        <f t="shared" si="1"/>
        <v>1</v>
      </c>
      <c r="F46" s="44" t="s">
        <v>35</v>
      </c>
      <c r="G46" s="35" t="s">
        <v>299</v>
      </c>
      <c r="H46" s="24">
        <v>1</v>
      </c>
      <c r="I46" s="54"/>
      <c r="J46" s="24"/>
    </row>
    <row r="47" spans="1:10">
      <c r="A47" s="35">
        <f t="shared" si="0"/>
        <v>232</v>
      </c>
      <c r="B47" s="35" t="s">
        <v>32</v>
      </c>
      <c r="C47" s="44" t="s">
        <v>36</v>
      </c>
      <c r="D47" s="35">
        <v>2</v>
      </c>
      <c r="E47" s="35">
        <f t="shared" si="1"/>
        <v>1</v>
      </c>
      <c r="F47" s="44" t="s">
        <v>372</v>
      </c>
      <c r="G47" s="35" t="s">
        <v>324</v>
      </c>
      <c r="H47" s="24">
        <v>0.2</v>
      </c>
      <c r="I47" s="54"/>
      <c r="J47" s="24"/>
    </row>
    <row r="48" spans="1:10">
      <c r="A48" s="35">
        <f t="shared" si="0"/>
        <v>241</v>
      </c>
      <c r="B48" s="35" t="s">
        <v>32</v>
      </c>
      <c r="C48" s="46" t="s">
        <v>37</v>
      </c>
      <c r="D48" s="35">
        <v>2</v>
      </c>
      <c r="E48" s="35">
        <f t="shared" si="1"/>
        <v>1</v>
      </c>
      <c r="F48" s="46" t="s">
        <v>37</v>
      </c>
      <c r="G48" s="35" t="s">
        <v>299</v>
      </c>
      <c r="H48" s="24">
        <v>1</v>
      </c>
      <c r="I48" s="54"/>
      <c r="J48" s="24"/>
    </row>
    <row r="49" spans="1:10">
      <c r="A49" s="35">
        <f t="shared" si="0"/>
        <v>242</v>
      </c>
      <c r="B49" s="35" t="s">
        <v>32</v>
      </c>
      <c r="C49" s="46" t="s">
        <v>38</v>
      </c>
      <c r="D49" s="35">
        <v>2</v>
      </c>
      <c r="E49" s="35">
        <f t="shared" si="1"/>
        <v>1</v>
      </c>
      <c r="F49" s="46" t="s">
        <v>373</v>
      </c>
      <c r="G49" s="35" t="s">
        <v>324</v>
      </c>
      <c r="H49" s="24">
        <v>1.5</v>
      </c>
      <c r="I49" s="54" t="s">
        <v>324</v>
      </c>
      <c r="J49" s="24">
        <v>1.5</v>
      </c>
    </row>
    <row r="50" spans="1:10">
      <c r="A50" s="35">
        <f t="shared" si="0"/>
        <v>251</v>
      </c>
      <c r="B50" s="35" t="s">
        <v>32</v>
      </c>
      <c r="C50" s="47" t="s">
        <v>39</v>
      </c>
      <c r="D50" s="35">
        <v>2</v>
      </c>
      <c r="E50" s="35">
        <f t="shared" si="1"/>
        <v>1</v>
      </c>
      <c r="F50" s="47" t="s">
        <v>39</v>
      </c>
      <c r="G50" s="35" t="s">
        <v>358</v>
      </c>
      <c r="H50" s="24">
        <v>1</v>
      </c>
      <c r="I50" s="54" t="s">
        <v>359</v>
      </c>
      <c r="J50" s="24">
        <v>3</v>
      </c>
    </row>
    <row r="51" s="36" customFormat="1" ht="14.55" spans="1:37">
      <c r="A51" s="72">
        <f t="shared" si="0"/>
        <v>252</v>
      </c>
      <c r="B51" s="72" t="s">
        <v>32</v>
      </c>
      <c r="C51" s="48" t="s">
        <v>40</v>
      </c>
      <c r="D51" s="72">
        <v>2</v>
      </c>
      <c r="E51" s="72">
        <f t="shared" si="1"/>
        <v>1</v>
      </c>
      <c r="F51" s="48" t="s">
        <v>374</v>
      </c>
      <c r="G51" s="72" t="s">
        <v>334</v>
      </c>
      <c r="H51" s="79">
        <v>2</v>
      </c>
      <c r="I51" s="86" t="s">
        <v>331</v>
      </c>
      <c r="J51" s="79">
        <v>2</v>
      </c>
      <c r="O51" s="87"/>
      <c r="R51" s="81"/>
      <c r="X51" s="87"/>
      <c r="Y51" s="81"/>
      <c r="Z51" s="87"/>
      <c r="AA51" s="81"/>
      <c r="AF51" s="87"/>
      <c r="AG51" s="87"/>
      <c r="AH51" s="87"/>
      <c r="AI51" s="87"/>
      <c r="AJ51" s="87"/>
      <c r="AK51" s="81"/>
    </row>
    <row r="52" spans="1:10">
      <c r="A52" s="78">
        <f t="shared" ref="A52:A71" si="2">A35+100</f>
        <v>301</v>
      </c>
      <c r="B52" s="78" t="str">
        <f>INDEX(武器技能设计!$B$2:$B$17,MATCH(D52,武器技能设计!$A$2:$A$17,0))</f>
        <v>长弓</v>
      </c>
      <c r="C52" s="76" t="s">
        <v>355</v>
      </c>
      <c r="D52" s="78">
        <f>D35+1</f>
        <v>3</v>
      </c>
      <c r="E52" s="78">
        <f t="shared" si="1"/>
        <v>99</v>
      </c>
      <c r="F52" s="41" t="s">
        <v>356</v>
      </c>
      <c r="G52" s="78" t="s">
        <v>324</v>
      </c>
      <c r="H52" s="80">
        <v>0.25</v>
      </c>
      <c r="I52" s="88"/>
      <c r="J52" s="80"/>
    </row>
    <row r="53" spans="1:10">
      <c r="A53" s="35">
        <f t="shared" si="2"/>
        <v>302</v>
      </c>
      <c r="B53" s="35" t="str">
        <f>INDEX(武器技能设计!$B$2:$B$17,MATCH(D53,武器技能设计!$A$2:$A$17,0))</f>
        <v>长弓</v>
      </c>
      <c r="C53" s="41" t="s">
        <v>322</v>
      </c>
      <c r="D53" s="35">
        <f t="shared" ref="D53:D116" si="3">D36+1</f>
        <v>3</v>
      </c>
      <c r="E53" s="35">
        <f t="shared" si="1"/>
        <v>99</v>
      </c>
      <c r="F53" s="41" t="s">
        <v>357</v>
      </c>
      <c r="G53" s="35" t="s">
        <v>358</v>
      </c>
      <c r="H53" s="24">
        <v>0.15</v>
      </c>
      <c r="I53" s="54"/>
      <c r="J53" s="24"/>
    </row>
    <row r="54" spans="1:10">
      <c r="A54" s="35">
        <f t="shared" si="2"/>
        <v>303</v>
      </c>
      <c r="B54" s="35" t="str">
        <f>INDEX(武器技能设计!$B$2:$B$17,MATCH(D54,武器技能设计!$A$2:$A$17,0))</f>
        <v>长弓</v>
      </c>
      <c r="C54" s="41" t="s">
        <v>360</v>
      </c>
      <c r="D54" s="35">
        <f t="shared" si="3"/>
        <v>3</v>
      </c>
      <c r="E54" s="35">
        <f t="shared" si="1"/>
        <v>99</v>
      </c>
      <c r="F54" s="41" t="s">
        <v>361</v>
      </c>
      <c r="G54" s="35" t="s">
        <v>230</v>
      </c>
      <c r="H54" s="24">
        <v>0.1</v>
      </c>
      <c r="I54" s="54"/>
      <c r="J54" s="24"/>
    </row>
    <row r="55" spans="1:10">
      <c r="A55" s="35">
        <f t="shared" si="2"/>
        <v>311</v>
      </c>
      <c r="B55" s="35" t="str">
        <f>INDEX(武器技能设计!$B$2:$B$17,MATCH(D55,武器技能设计!$A$2:$A$17,0))</f>
        <v>长弓</v>
      </c>
      <c r="C55" s="44" t="s">
        <v>355</v>
      </c>
      <c r="D55" s="35">
        <f t="shared" si="3"/>
        <v>3</v>
      </c>
      <c r="E55" s="35">
        <f t="shared" si="1"/>
        <v>99</v>
      </c>
      <c r="F55" s="44" t="s">
        <v>362</v>
      </c>
      <c r="G55" s="35" t="s">
        <v>324</v>
      </c>
      <c r="H55" s="24">
        <v>0.5</v>
      </c>
      <c r="I55" s="54"/>
      <c r="J55" s="24"/>
    </row>
    <row r="56" spans="1:10">
      <c r="A56" s="35">
        <f t="shared" si="2"/>
        <v>312</v>
      </c>
      <c r="B56" s="35" t="str">
        <f>INDEX(武器技能设计!$B$2:$B$17,MATCH(D56,武器技能设计!$A$2:$A$17,0))</f>
        <v>长弓</v>
      </c>
      <c r="C56" s="44" t="s">
        <v>322</v>
      </c>
      <c r="D56" s="35">
        <f t="shared" si="3"/>
        <v>3</v>
      </c>
      <c r="E56" s="35">
        <f t="shared" si="1"/>
        <v>99</v>
      </c>
      <c r="F56" s="44" t="s">
        <v>363</v>
      </c>
      <c r="G56" s="35" t="s">
        <v>358</v>
      </c>
      <c r="H56" s="24">
        <v>0.25</v>
      </c>
      <c r="I56" s="54"/>
      <c r="J56" s="24"/>
    </row>
    <row r="57" spans="1:10">
      <c r="A57" s="35">
        <f t="shared" si="2"/>
        <v>313</v>
      </c>
      <c r="B57" s="35" t="str">
        <f>INDEX(武器技能设计!$B$2:$B$17,MATCH(D57,武器技能设计!$A$2:$A$17,0))</f>
        <v>长弓</v>
      </c>
      <c r="C57" s="44" t="s">
        <v>359</v>
      </c>
      <c r="D57" s="35">
        <f t="shared" si="3"/>
        <v>3</v>
      </c>
      <c r="E57" s="35">
        <f t="shared" si="1"/>
        <v>99</v>
      </c>
      <c r="F57" s="44" t="s">
        <v>364</v>
      </c>
      <c r="G57" s="35" t="s">
        <v>359</v>
      </c>
      <c r="H57" s="24">
        <v>0.5</v>
      </c>
      <c r="I57" s="54"/>
      <c r="J57" s="24"/>
    </row>
    <row r="58" spans="1:10">
      <c r="A58" s="35">
        <f t="shared" si="2"/>
        <v>314</v>
      </c>
      <c r="B58" s="35" t="str">
        <f>INDEX(武器技能设计!$B$2:$B$17,MATCH(D58,武器技能设计!$A$2:$A$17,0))</f>
        <v>长弓</v>
      </c>
      <c r="C58" s="44" t="s">
        <v>360</v>
      </c>
      <c r="D58" s="35">
        <f t="shared" si="3"/>
        <v>3</v>
      </c>
      <c r="E58" s="35">
        <f t="shared" si="1"/>
        <v>99</v>
      </c>
      <c r="F58" s="44" t="s">
        <v>365</v>
      </c>
      <c r="G58" s="35" t="s">
        <v>230</v>
      </c>
      <c r="H58" s="24">
        <v>0.2</v>
      </c>
      <c r="I58" s="54"/>
      <c r="J58" s="24"/>
    </row>
    <row r="59" spans="1:10">
      <c r="A59" s="35">
        <f t="shared" si="2"/>
        <v>321</v>
      </c>
      <c r="B59" s="35" t="str">
        <f>INDEX(武器技能设计!$B$2:$B$17,MATCH(D59,武器技能设计!$A$2:$A$17,0))</f>
        <v>长弓</v>
      </c>
      <c r="C59" s="46" t="s">
        <v>355</v>
      </c>
      <c r="D59" s="35">
        <f t="shared" si="3"/>
        <v>3</v>
      </c>
      <c r="E59" s="35">
        <f t="shared" si="1"/>
        <v>99</v>
      </c>
      <c r="F59" s="46" t="s">
        <v>366</v>
      </c>
      <c r="G59" s="35" t="s">
        <v>324</v>
      </c>
      <c r="H59" s="24">
        <v>1</v>
      </c>
      <c r="I59" s="54"/>
      <c r="J59" s="24"/>
    </row>
    <row r="60" spans="1:10">
      <c r="A60" s="35">
        <f t="shared" si="2"/>
        <v>322</v>
      </c>
      <c r="B60" s="35" t="str">
        <f>INDEX(武器技能设计!$B$2:$B$17,MATCH(D60,武器技能设计!$A$2:$A$17,0))</f>
        <v>长弓</v>
      </c>
      <c r="C60" s="46" t="s">
        <v>322</v>
      </c>
      <c r="D60" s="35">
        <f t="shared" si="3"/>
        <v>3</v>
      </c>
      <c r="E60" s="35">
        <f t="shared" si="1"/>
        <v>99</v>
      </c>
      <c r="F60" s="46" t="s">
        <v>367</v>
      </c>
      <c r="G60" s="35" t="s">
        <v>358</v>
      </c>
      <c r="H60" s="24">
        <v>0.5</v>
      </c>
      <c r="I60" s="54"/>
      <c r="J60" s="24"/>
    </row>
    <row r="61" spans="1:10">
      <c r="A61" s="35">
        <f t="shared" si="2"/>
        <v>323</v>
      </c>
      <c r="B61" s="35" t="str">
        <f>INDEX(武器技能设计!$B$2:$B$17,MATCH(D61,武器技能设计!$A$2:$A$17,0))</f>
        <v>长弓</v>
      </c>
      <c r="C61" s="46" t="s">
        <v>359</v>
      </c>
      <c r="D61" s="35">
        <f t="shared" si="3"/>
        <v>3</v>
      </c>
      <c r="E61" s="35">
        <f t="shared" si="1"/>
        <v>99</v>
      </c>
      <c r="F61" s="46" t="s">
        <v>368</v>
      </c>
      <c r="G61" s="35" t="s">
        <v>359</v>
      </c>
      <c r="H61" s="24">
        <v>1</v>
      </c>
      <c r="I61" s="54"/>
      <c r="J61" s="24"/>
    </row>
    <row r="62" spans="1:10">
      <c r="A62" s="35">
        <f t="shared" si="2"/>
        <v>324</v>
      </c>
      <c r="B62" s="35" t="str">
        <f>INDEX(武器技能设计!$B$2:$B$17,MATCH(D62,武器技能设计!$A$2:$A$17,0))</f>
        <v>长弓</v>
      </c>
      <c r="C62" s="46" t="s">
        <v>360</v>
      </c>
      <c r="D62" s="35">
        <f t="shared" si="3"/>
        <v>3</v>
      </c>
      <c r="E62" s="35">
        <f t="shared" si="1"/>
        <v>99</v>
      </c>
      <c r="F62" s="46" t="s">
        <v>369</v>
      </c>
      <c r="G62" s="35" t="s">
        <v>230</v>
      </c>
      <c r="H62" s="24">
        <v>0.3</v>
      </c>
      <c r="I62" s="54"/>
      <c r="J62" s="24"/>
    </row>
    <row r="63" spans="1:10">
      <c r="A63" s="35">
        <f t="shared" si="2"/>
        <v>331</v>
      </c>
      <c r="B63" s="35" t="str">
        <f>INDEX(武器技能设计!$B$2:$B$17,MATCH(D63,武器技能设计!$A$2:$A$17,0))</f>
        <v>长弓</v>
      </c>
      <c r="C63" s="44" t="s">
        <v>44</v>
      </c>
      <c r="D63" s="35">
        <f t="shared" si="3"/>
        <v>3</v>
      </c>
      <c r="E63" s="35">
        <f t="shared" si="1"/>
        <v>1</v>
      </c>
      <c r="F63" s="44" t="s">
        <v>375</v>
      </c>
      <c r="G63" s="35" t="s">
        <v>335</v>
      </c>
      <c r="H63" s="24">
        <v>1</v>
      </c>
      <c r="I63" s="54"/>
      <c r="J63" s="24"/>
    </row>
    <row r="64" spans="1:10">
      <c r="A64" s="35">
        <f t="shared" si="2"/>
        <v>332</v>
      </c>
      <c r="B64" s="35" t="str">
        <f>INDEX(武器技能设计!$B$2:$B$17,MATCH(D64,武器技能设计!$A$2:$A$17,0))</f>
        <v>长弓</v>
      </c>
      <c r="C64" s="44" t="s">
        <v>45</v>
      </c>
      <c r="D64" s="35">
        <f t="shared" si="3"/>
        <v>3</v>
      </c>
      <c r="E64" s="35">
        <f t="shared" si="1"/>
        <v>1</v>
      </c>
      <c r="F64" s="44" t="s">
        <v>376</v>
      </c>
      <c r="G64" s="35" t="s">
        <v>337</v>
      </c>
      <c r="H64" s="24">
        <v>1</v>
      </c>
      <c r="I64" s="54"/>
      <c r="J64" s="24"/>
    </row>
    <row r="65" spans="1:10">
      <c r="A65" s="35">
        <f t="shared" si="2"/>
        <v>341</v>
      </c>
      <c r="B65" s="35" t="str">
        <f>INDEX(武器技能设计!$B$2:$B$17,MATCH(D65,武器技能设计!$A$2:$A$17,0))</f>
        <v>长弓</v>
      </c>
      <c r="C65" s="46" t="s">
        <v>46</v>
      </c>
      <c r="D65" s="35">
        <f t="shared" si="3"/>
        <v>3</v>
      </c>
      <c r="E65" s="35">
        <f t="shared" si="1"/>
        <v>1</v>
      </c>
      <c r="F65" s="46" t="s">
        <v>377</v>
      </c>
      <c r="G65" s="35" t="s">
        <v>358</v>
      </c>
      <c r="H65" s="24">
        <v>1</v>
      </c>
      <c r="I65" s="54" t="s">
        <v>359</v>
      </c>
      <c r="J65" s="24">
        <v>1</v>
      </c>
    </row>
    <row r="66" spans="1:10">
      <c r="A66" s="35">
        <f t="shared" si="2"/>
        <v>342</v>
      </c>
      <c r="B66" s="35" t="str">
        <f>INDEX(武器技能设计!$B$2:$B$17,MATCH(D66,武器技能设计!$A$2:$A$17,0))</f>
        <v>长弓</v>
      </c>
      <c r="C66" s="46" t="s">
        <v>47</v>
      </c>
      <c r="D66" s="35">
        <f t="shared" si="3"/>
        <v>3</v>
      </c>
      <c r="E66" s="35">
        <f t="shared" si="1"/>
        <v>1</v>
      </c>
      <c r="F66" s="46" t="s">
        <v>47</v>
      </c>
      <c r="G66" s="35" t="s">
        <v>136</v>
      </c>
      <c r="H66" s="24">
        <v>2</v>
      </c>
      <c r="I66" s="54" t="s">
        <v>324</v>
      </c>
      <c r="J66" s="24">
        <v>1</v>
      </c>
    </row>
    <row r="67" spans="1:10">
      <c r="A67" s="35">
        <f t="shared" si="2"/>
        <v>351</v>
      </c>
      <c r="B67" s="35" t="str">
        <f>INDEX(武器技能设计!$B$2:$B$17,MATCH(D67,武器技能设计!$A$2:$A$17,0))</f>
        <v>长弓</v>
      </c>
      <c r="C67" s="47" t="s">
        <v>378</v>
      </c>
      <c r="D67" s="35">
        <f t="shared" si="3"/>
        <v>3</v>
      </c>
      <c r="E67" s="35">
        <f t="shared" si="1"/>
        <v>1</v>
      </c>
      <c r="F67" s="47" t="s">
        <v>378</v>
      </c>
      <c r="G67" s="35" t="s">
        <v>331</v>
      </c>
      <c r="H67" s="24">
        <v>2</v>
      </c>
      <c r="I67" s="54" t="s">
        <v>334</v>
      </c>
      <c r="J67" s="24">
        <v>2</v>
      </c>
    </row>
    <row r="68" s="36" customFormat="1" ht="14.55" spans="1:37">
      <c r="A68" s="72">
        <f t="shared" si="2"/>
        <v>352</v>
      </c>
      <c r="B68" s="72" t="str">
        <f>INDEX(武器技能设计!$B$2:$B$17,MATCH(D68,武器技能设计!$A$2:$A$17,0))</f>
        <v>长弓</v>
      </c>
      <c r="C68" s="48" t="s">
        <v>379</v>
      </c>
      <c r="D68" s="72">
        <f t="shared" si="3"/>
        <v>3</v>
      </c>
      <c r="E68" s="72">
        <f t="shared" si="1"/>
        <v>1</v>
      </c>
      <c r="F68" s="48" t="s">
        <v>380</v>
      </c>
      <c r="G68" s="72" t="s">
        <v>324</v>
      </c>
      <c r="H68" s="79">
        <v>4.5</v>
      </c>
      <c r="I68" s="86"/>
      <c r="J68" s="79"/>
      <c r="O68" s="87"/>
      <c r="R68" s="81"/>
      <c r="X68" s="87"/>
      <c r="Y68" s="81"/>
      <c r="Z68" s="87"/>
      <c r="AA68" s="81"/>
      <c r="AF68" s="87"/>
      <c r="AG68" s="87"/>
      <c r="AH68" s="87"/>
      <c r="AI68" s="87"/>
      <c r="AJ68" s="87"/>
      <c r="AK68" s="81"/>
    </row>
    <row r="69" spans="1:10">
      <c r="A69" s="78">
        <f t="shared" si="2"/>
        <v>401</v>
      </c>
      <c r="B69" s="78" t="str">
        <f>INDEX(武器技能设计!$B$2:$B$17,MATCH(D69,武器技能设计!$A$2:$A$17,0))</f>
        <v>石斧</v>
      </c>
      <c r="C69" s="76" t="s">
        <v>355</v>
      </c>
      <c r="D69" s="78">
        <f t="shared" si="3"/>
        <v>4</v>
      </c>
      <c r="E69" s="78">
        <f t="shared" si="1"/>
        <v>99</v>
      </c>
      <c r="F69" s="41" t="s">
        <v>356</v>
      </c>
      <c r="G69" s="78" t="s">
        <v>324</v>
      </c>
      <c r="H69" s="80">
        <v>0.25</v>
      </c>
      <c r="I69" s="88"/>
      <c r="J69" s="80"/>
    </row>
    <row r="70" spans="1:10">
      <c r="A70" s="35">
        <f t="shared" si="2"/>
        <v>402</v>
      </c>
      <c r="B70" s="35" t="str">
        <f>INDEX(武器技能设计!$B$2:$B$17,MATCH(D70,武器技能设计!$A$2:$A$17,0))</f>
        <v>石斧</v>
      </c>
      <c r="C70" s="41" t="s">
        <v>322</v>
      </c>
      <c r="D70" s="35">
        <f t="shared" si="3"/>
        <v>4</v>
      </c>
      <c r="E70" s="35">
        <f t="shared" si="1"/>
        <v>99</v>
      </c>
      <c r="F70" s="41" t="s">
        <v>357</v>
      </c>
      <c r="G70" s="35" t="s">
        <v>358</v>
      </c>
      <c r="H70" s="24">
        <v>0.15</v>
      </c>
      <c r="I70" s="54"/>
      <c r="J70" s="24"/>
    </row>
    <row r="71" spans="1:10">
      <c r="A71" s="35">
        <f t="shared" si="2"/>
        <v>403</v>
      </c>
      <c r="B71" s="35" t="str">
        <f>INDEX(武器技能设计!$B$2:$B$17,MATCH(D71,武器技能设计!$A$2:$A$17,0))</f>
        <v>石斧</v>
      </c>
      <c r="C71" s="41" t="s">
        <v>360</v>
      </c>
      <c r="D71" s="35">
        <f t="shared" si="3"/>
        <v>4</v>
      </c>
      <c r="E71" s="35">
        <f t="shared" si="1"/>
        <v>99</v>
      </c>
      <c r="F71" s="41" t="s">
        <v>361</v>
      </c>
      <c r="G71" s="35" t="s">
        <v>230</v>
      </c>
      <c r="H71" s="24">
        <v>0.1</v>
      </c>
      <c r="I71" s="54"/>
      <c r="J71" s="24"/>
    </row>
    <row r="72" spans="1:10">
      <c r="A72" s="35">
        <f t="shared" ref="A72:A103" si="4">A55+100</f>
        <v>411</v>
      </c>
      <c r="B72" s="35" t="str">
        <f>INDEX(武器技能设计!$B$2:$B$17,MATCH(D72,武器技能设计!$A$2:$A$17,0))</f>
        <v>石斧</v>
      </c>
      <c r="C72" s="44" t="s">
        <v>355</v>
      </c>
      <c r="D72" s="35">
        <f t="shared" si="3"/>
        <v>4</v>
      </c>
      <c r="E72" s="35">
        <f t="shared" si="1"/>
        <v>99</v>
      </c>
      <c r="F72" s="44" t="s">
        <v>362</v>
      </c>
      <c r="G72" s="35" t="s">
        <v>324</v>
      </c>
      <c r="H72" s="24">
        <v>0.5</v>
      </c>
      <c r="I72" s="54"/>
      <c r="J72" s="24"/>
    </row>
    <row r="73" spans="1:10">
      <c r="A73" s="35">
        <f t="shared" si="4"/>
        <v>412</v>
      </c>
      <c r="B73" s="35" t="str">
        <f>INDEX(武器技能设计!$B$2:$B$17,MATCH(D73,武器技能设计!$A$2:$A$17,0))</f>
        <v>石斧</v>
      </c>
      <c r="C73" s="44" t="s">
        <v>322</v>
      </c>
      <c r="D73" s="35">
        <f t="shared" si="3"/>
        <v>4</v>
      </c>
      <c r="E73" s="35">
        <f t="shared" si="1"/>
        <v>99</v>
      </c>
      <c r="F73" s="44" t="s">
        <v>363</v>
      </c>
      <c r="G73" s="35" t="s">
        <v>358</v>
      </c>
      <c r="H73" s="24">
        <v>0.25</v>
      </c>
      <c r="I73" s="54"/>
      <c r="J73" s="24"/>
    </row>
    <row r="74" spans="1:10">
      <c r="A74" s="35">
        <f t="shared" si="4"/>
        <v>413</v>
      </c>
      <c r="B74" s="35" t="str">
        <f>INDEX(武器技能设计!$B$2:$B$17,MATCH(D74,武器技能设计!$A$2:$A$17,0))</f>
        <v>石斧</v>
      </c>
      <c r="C74" s="44" t="s">
        <v>359</v>
      </c>
      <c r="D74" s="35">
        <f t="shared" si="3"/>
        <v>4</v>
      </c>
      <c r="E74" s="35">
        <f t="shared" si="1"/>
        <v>99</v>
      </c>
      <c r="F74" s="44" t="s">
        <v>364</v>
      </c>
      <c r="G74" s="35" t="s">
        <v>359</v>
      </c>
      <c r="H74" s="24">
        <v>0.5</v>
      </c>
      <c r="I74" s="54"/>
      <c r="J74" s="24"/>
    </row>
    <row r="75" spans="1:10">
      <c r="A75" s="35">
        <f t="shared" si="4"/>
        <v>414</v>
      </c>
      <c r="B75" s="35" t="str">
        <f>INDEX(武器技能设计!$B$2:$B$17,MATCH(D75,武器技能设计!$A$2:$A$17,0))</f>
        <v>石斧</v>
      </c>
      <c r="C75" s="44" t="s">
        <v>360</v>
      </c>
      <c r="D75" s="35">
        <f t="shared" si="3"/>
        <v>4</v>
      </c>
      <c r="E75" s="35">
        <f t="shared" si="1"/>
        <v>99</v>
      </c>
      <c r="F75" s="44" t="s">
        <v>365</v>
      </c>
      <c r="G75" s="35" t="s">
        <v>230</v>
      </c>
      <c r="H75" s="24">
        <v>0.2</v>
      </c>
      <c r="I75" s="54"/>
      <c r="J75" s="24"/>
    </row>
    <row r="76" spans="1:10">
      <c r="A76" s="35">
        <f t="shared" si="4"/>
        <v>421</v>
      </c>
      <c r="B76" s="35" t="str">
        <f>INDEX(武器技能设计!$B$2:$B$17,MATCH(D76,武器技能设计!$A$2:$A$17,0))</f>
        <v>石斧</v>
      </c>
      <c r="C76" s="46" t="s">
        <v>355</v>
      </c>
      <c r="D76" s="35">
        <f t="shared" si="3"/>
        <v>4</v>
      </c>
      <c r="E76" s="35">
        <f t="shared" si="1"/>
        <v>99</v>
      </c>
      <c r="F76" s="46" t="s">
        <v>366</v>
      </c>
      <c r="G76" s="35" t="s">
        <v>324</v>
      </c>
      <c r="H76" s="24">
        <v>1</v>
      </c>
      <c r="I76" s="54"/>
      <c r="J76" s="24"/>
    </row>
    <row r="77" spans="1:10">
      <c r="A77" s="35">
        <f t="shared" si="4"/>
        <v>422</v>
      </c>
      <c r="B77" s="35" t="str">
        <f>INDEX(武器技能设计!$B$2:$B$17,MATCH(D77,武器技能设计!$A$2:$A$17,0))</f>
        <v>石斧</v>
      </c>
      <c r="C77" s="46" t="s">
        <v>322</v>
      </c>
      <c r="D77" s="35">
        <f t="shared" si="3"/>
        <v>4</v>
      </c>
      <c r="E77" s="35">
        <f t="shared" si="1"/>
        <v>99</v>
      </c>
      <c r="F77" s="46" t="s">
        <v>367</v>
      </c>
      <c r="G77" s="35" t="s">
        <v>358</v>
      </c>
      <c r="H77" s="24">
        <v>0.5</v>
      </c>
      <c r="I77" s="54"/>
      <c r="J77" s="24"/>
    </row>
    <row r="78" spans="1:10">
      <c r="A78" s="35">
        <f t="shared" si="4"/>
        <v>423</v>
      </c>
      <c r="B78" s="35" t="str">
        <f>INDEX(武器技能设计!$B$2:$B$17,MATCH(D78,武器技能设计!$A$2:$A$17,0))</f>
        <v>石斧</v>
      </c>
      <c r="C78" s="46" t="s">
        <v>359</v>
      </c>
      <c r="D78" s="35">
        <f t="shared" si="3"/>
        <v>4</v>
      </c>
      <c r="E78" s="35">
        <f t="shared" si="1"/>
        <v>99</v>
      </c>
      <c r="F78" s="46" t="s">
        <v>368</v>
      </c>
      <c r="G78" s="35" t="s">
        <v>359</v>
      </c>
      <c r="H78" s="24">
        <v>1</v>
      </c>
      <c r="I78" s="54"/>
      <c r="J78" s="24"/>
    </row>
    <row r="79" spans="1:10">
      <c r="A79" s="35">
        <f t="shared" si="4"/>
        <v>424</v>
      </c>
      <c r="B79" s="35" t="str">
        <f>INDEX(武器技能设计!$B$2:$B$17,MATCH(D79,武器技能设计!$A$2:$A$17,0))</f>
        <v>石斧</v>
      </c>
      <c r="C79" s="46" t="s">
        <v>360</v>
      </c>
      <c r="D79" s="35">
        <f t="shared" si="3"/>
        <v>4</v>
      </c>
      <c r="E79" s="35">
        <f t="shared" si="1"/>
        <v>99</v>
      </c>
      <c r="F79" s="46" t="s">
        <v>369</v>
      </c>
      <c r="G79" s="35" t="s">
        <v>230</v>
      </c>
      <c r="H79" s="24">
        <v>0.3</v>
      </c>
      <c r="I79" s="54"/>
      <c r="J79" s="24"/>
    </row>
    <row r="80" spans="1:10">
      <c r="A80" s="35">
        <f t="shared" si="4"/>
        <v>431</v>
      </c>
      <c r="B80" s="35" t="str">
        <f>INDEX(武器技能设计!$B$2:$B$17,MATCH(D80,武器技能设计!$A$2:$A$17,0))</f>
        <v>石斧</v>
      </c>
      <c r="C80" s="44" t="s">
        <v>51</v>
      </c>
      <c r="D80" s="35">
        <f t="shared" si="3"/>
        <v>4</v>
      </c>
      <c r="E80" s="35">
        <f t="shared" si="1"/>
        <v>1</v>
      </c>
      <c r="F80" s="44" t="s">
        <v>375</v>
      </c>
      <c r="G80" s="35" t="s">
        <v>335</v>
      </c>
      <c r="H80" s="24">
        <v>1</v>
      </c>
      <c r="I80" s="54"/>
      <c r="J80" s="24"/>
    </row>
    <row r="81" spans="1:10">
      <c r="A81" s="35">
        <f t="shared" si="4"/>
        <v>432</v>
      </c>
      <c r="B81" s="35" t="str">
        <f>INDEX(武器技能设计!$B$2:$B$17,MATCH(D81,武器技能设计!$A$2:$A$17,0))</f>
        <v>石斧</v>
      </c>
      <c r="C81" s="44" t="s">
        <v>25</v>
      </c>
      <c r="D81" s="35">
        <f t="shared" si="3"/>
        <v>4</v>
      </c>
      <c r="E81" s="35">
        <f t="shared" si="1"/>
        <v>1</v>
      </c>
      <c r="F81" s="44" t="s">
        <v>381</v>
      </c>
      <c r="G81" s="35" t="s">
        <v>339</v>
      </c>
      <c r="H81" s="24">
        <v>1</v>
      </c>
      <c r="I81" s="54"/>
      <c r="J81" s="24"/>
    </row>
    <row r="82" spans="1:10">
      <c r="A82" s="35">
        <f t="shared" si="4"/>
        <v>441</v>
      </c>
      <c r="B82" s="35" t="str">
        <f>INDEX(武器技能设计!$B$2:$B$17,MATCH(D82,武器技能设计!$A$2:$A$17,0))</f>
        <v>石斧</v>
      </c>
      <c r="C82" s="46" t="s">
        <v>52</v>
      </c>
      <c r="D82" s="35">
        <f t="shared" si="3"/>
        <v>4</v>
      </c>
      <c r="E82" s="35">
        <f t="shared" si="1"/>
        <v>1</v>
      </c>
      <c r="F82" s="46" t="s">
        <v>52</v>
      </c>
      <c r="G82" s="35" t="s">
        <v>136</v>
      </c>
      <c r="H82" s="24">
        <v>1</v>
      </c>
      <c r="I82" s="54" t="s">
        <v>324</v>
      </c>
      <c r="J82" s="24">
        <v>1</v>
      </c>
    </row>
    <row r="83" spans="1:10">
      <c r="A83" s="35">
        <f t="shared" si="4"/>
        <v>442</v>
      </c>
      <c r="B83" s="35" t="str">
        <f>INDEX(武器技能设计!$B$2:$B$17,MATCH(D83,武器技能设计!$A$2:$A$17,0))</f>
        <v>石斧</v>
      </c>
      <c r="C83" s="46" t="s">
        <v>27</v>
      </c>
      <c r="D83" s="35">
        <f t="shared" si="3"/>
        <v>4</v>
      </c>
      <c r="E83" s="35">
        <f t="shared" si="1"/>
        <v>1</v>
      </c>
      <c r="F83" s="46" t="s">
        <v>382</v>
      </c>
      <c r="G83" s="35" t="s">
        <v>358</v>
      </c>
      <c r="H83" s="24">
        <v>0.5</v>
      </c>
      <c r="I83" s="54" t="s">
        <v>359</v>
      </c>
      <c r="J83" s="24">
        <v>1</v>
      </c>
    </row>
    <row r="84" spans="1:10">
      <c r="A84" s="35">
        <f t="shared" si="4"/>
        <v>451</v>
      </c>
      <c r="B84" s="35" t="str">
        <f>INDEX(武器技能设计!$B$2:$B$17,MATCH(D84,武器技能设计!$A$2:$A$17,0))</f>
        <v>石斧</v>
      </c>
      <c r="C84" s="47" t="s">
        <v>149</v>
      </c>
      <c r="D84" s="35">
        <f t="shared" si="3"/>
        <v>4</v>
      </c>
      <c r="E84" s="35">
        <f t="shared" si="1"/>
        <v>1</v>
      </c>
      <c r="F84" s="47" t="s">
        <v>149</v>
      </c>
      <c r="G84" s="35" t="s">
        <v>331</v>
      </c>
      <c r="H84" s="24">
        <v>2</v>
      </c>
      <c r="I84" s="54" t="s">
        <v>324</v>
      </c>
      <c r="J84" s="24">
        <v>2</v>
      </c>
    </row>
    <row r="85" s="36" customFormat="1" ht="14.55" spans="1:37">
      <c r="A85" s="72">
        <f t="shared" si="4"/>
        <v>452</v>
      </c>
      <c r="B85" s="72" t="str">
        <f>INDEX(武器技能设计!$B$2:$B$17,MATCH(D85,武器技能设计!$A$2:$A$17,0))</f>
        <v>石斧</v>
      </c>
      <c r="C85" s="48" t="s">
        <v>54</v>
      </c>
      <c r="D85" s="72">
        <f t="shared" si="3"/>
        <v>4</v>
      </c>
      <c r="E85" s="72">
        <f t="shared" si="1"/>
        <v>1</v>
      </c>
      <c r="F85" s="48" t="s">
        <v>383</v>
      </c>
      <c r="G85" s="72" t="s">
        <v>334</v>
      </c>
      <c r="H85" s="79">
        <v>2</v>
      </c>
      <c r="I85" s="86" t="s">
        <v>324</v>
      </c>
      <c r="J85" s="79">
        <v>3</v>
      </c>
      <c r="O85" s="87"/>
      <c r="R85" s="81"/>
      <c r="X85" s="87"/>
      <c r="Y85" s="81"/>
      <c r="Z85" s="87"/>
      <c r="AA85" s="81"/>
      <c r="AF85" s="87"/>
      <c r="AG85" s="87"/>
      <c r="AH85" s="87"/>
      <c r="AI85" s="87"/>
      <c r="AJ85" s="87"/>
      <c r="AK85" s="81"/>
    </row>
    <row r="86" spans="1:10">
      <c r="A86" s="78">
        <f t="shared" si="4"/>
        <v>501</v>
      </c>
      <c r="B86" s="78" t="str">
        <f>INDEX(武器技能设计!$B$2:$B$17,MATCH(D86,武器技能设计!$A$2:$A$17,0))</f>
        <v>回旋镖</v>
      </c>
      <c r="C86" s="76" t="s">
        <v>355</v>
      </c>
      <c r="D86" s="78">
        <f t="shared" si="3"/>
        <v>5</v>
      </c>
      <c r="E86" s="78">
        <f t="shared" si="1"/>
        <v>99</v>
      </c>
      <c r="F86" s="41" t="s">
        <v>356</v>
      </c>
      <c r="G86" s="78" t="s">
        <v>324</v>
      </c>
      <c r="H86" s="80">
        <v>0.25</v>
      </c>
      <c r="I86" s="88"/>
      <c r="J86" s="80"/>
    </row>
    <row r="87" spans="1:10">
      <c r="A87" s="35">
        <f t="shared" si="4"/>
        <v>502</v>
      </c>
      <c r="B87" s="35" t="str">
        <f>INDEX(武器技能设计!$B$2:$B$17,MATCH(D87,武器技能设计!$A$2:$A$17,0))</f>
        <v>回旋镖</v>
      </c>
      <c r="C87" s="41" t="s">
        <v>322</v>
      </c>
      <c r="D87" s="35">
        <f t="shared" si="3"/>
        <v>5</v>
      </c>
      <c r="E87" s="35">
        <f t="shared" si="1"/>
        <v>99</v>
      </c>
      <c r="F87" s="41" t="s">
        <v>357</v>
      </c>
      <c r="G87" s="35" t="s">
        <v>358</v>
      </c>
      <c r="H87" s="24">
        <v>0.15</v>
      </c>
      <c r="I87" s="54"/>
      <c r="J87" s="24"/>
    </row>
    <row r="88" spans="1:10">
      <c r="A88" s="35">
        <f t="shared" si="4"/>
        <v>503</v>
      </c>
      <c r="B88" s="35" t="str">
        <f>INDEX(武器技能设计!$B$2:$B$17,MATCH(D88,武器技能设计!$A$2:$A$17,0))</f>
        <v>回旋镖</v>
      </c>
      <c r="C88" s="41" t="s">
        <v>360</v>
      </c>
      <c r="D88" s="35">
        <f t="shared" si="3"/>
        <v>5</v>
      </c>
      <c r="E88" s="35">
        <f t="shared" si="1"/>
        <v>99</v>
      </c>
      <c r="F88" s="41" t="s">
        <v>361</v>
      </c>
      <c r="G88" s="35" t="s">
        <v>230</v>
      </c>
      <c r="H88" s="24">
        <v>0.1</v>
      </c>
      <c r="I88" s="54"/>
      <c r="J88" s="24"/>
    </row>
    <row r="89" spans="1:10">
      <c r="A89" s="35">
        <f t="shared" si="4"/>
        <v>511</v>
      </c>
      <c r="B89" s="35" t="str">
        <f>INDEX(武器技能设计!$B$2:$B$17,MATCH(D89,武器技能设计!$A$2:$A$17,0))</f>
        <v>回旋镖</v>
      </c>
      <c r="C89" s="44" t="s">
        <v>355</v>
      </c>
      <c r="D89" s="35">
        <f t="shared" si="3"/>
        <v>5</v>
      </c>
      <c r="E89" s="35">
        <f t="shared" si="1"/>
        <v>99</v>
      </c>
      <c r="F89" s="44" t="s">
        <v>362</v>
      </c>
      <c r="G89" s="35" t="s">
        <v>324</v>
      </c>
      <c r="H89" s="24">
        <v>0.5</v>
      </c>
      <c r="I89" s="54"/>
      <c r="J89" s="24"/>
    </row>
    <row r="90" spans="1:10">
      <c r="A90" s="35">
        <f t="shared" si="4"/>
        <v>512</v>
      </c>
      <c r="B90" s="35" t="str">
        <f>INDEX(武器技能设计!$B$2:$B$17,MATCH(D90,武器技能设计!$A$2:$A$17,0))</f>
        <v>回旋镖</v>
      </c>
      <c r="C90" s="44" t="s">
        <v>322</v>
      </c>
      <c r="D90" s="35">
        <f t="shared" si="3"/>
        <v>5</v>
      </c>
      <c r="E90" s="35">
        <f t="shared" si="1"/>
        <v>99</v>
      </c>
      <c r="F90" s="44" t="s">
        <v>363</v>
      </c>
      <c r="G90" s="35" t="s">
        <v>358</v>
      </c>
      <c r="H90" s="24">
        <v>0.25</v>
      </c>
      <c r="I90" s="54"/>
      <c r="J90" s="24"/>
    </row>
    <row r="91" spans="1:10">
      <c r="A91" s="35">
        <f t="shared" si="4"/>
        <v>513</v>
      </c>
      <c r="B91" s="35" t="str">
        <f>INDEX(武器技能设计!$B$2:$B$17,MATCH(D91,武器技能设计!$A$2:$A$17,0))</f>
        <v>回旋镖</v>
      </c>
      <c r="C91" s="44" t="s">
        <v>359</v>
      </c>
      <c r="D91" s="35">
        <f t="shared" si="3"/>
        <v>5</v>
      </c>
      <c r="E91" s="35">
        <f t="shared" si="1"/>
        <v>99</v>
      </c>
      <c r="F91" s="44" t="s">
        <v>364</v>
      </c>
      <c r="G91" s="35" t="s">
        <v>359</v>
      </c>
      <c r="H91" s="24">
        <v>0.5</v>
      </c>
      <c r="I91" s="54"/>
      <c r="J91" s="24"/>
    </row>
    <row r="92" spans="1:10">
      <c r="A92" s="35">
        <f t="shared" si="4"/>
        <v>514</v>
      </c>
      <c r="B92" s="35" t="str">
        <f>INDEX(武器技能设计!$B$2:$B$17,MATCH(D92,武器技能设计!$A$2:$A$17,0))</f>
        <v>回旋镖</v>
      </c>
      <c r="C92" s="44" t="s">
        <v>360</v>
      </c>
      <c r="D92" s="35">
        <f t="shared" si="3"/>
        <v>5</v>
      </c>
      <c r="E92" s="35">
        <f t="shared" si="1"/>
        <v>99</v>
      </c>
      <c r="F92" s="44" t="s">
        <v>365</v>
      </c>
      <c r="G92" s="35" t="s">
        <v>230</v>
      </c>
      <c r="H92" s="24">
        <v>0.2</v>
      </c>
      <c r="I92" s="54"/>
      <c r="J92" s="24"/>
    </row>
    <row r="93" spans="1:10">
      <c r="A93" s="35">
        <f t="shared" si="4"/>
        <v>521</v>
      </c>
      <c r="B93" s="35" t="str">
        <f>INDEX(武器技能设计!$B$2:$B$17,MATCH(D93,武器技能设计!$A$2:$A$17,0))</f>
        <v>回旋镖</v>
      </c>
      <c r="C93" s="46" t="s">
        <v>355</v>
      </c>
      <c r="D93" s="35">
        <f t="shared" si="3"/>
        <v>5</v>
      </c>
      <c r="E93" s="35">
        <f t="shared" si="1"/>
        <v>99</v>
      </c>
      <c r="F93" s="46" t="s">
        <v>366</v>
      </c>
      <c r="G93" s="35" t="s">
        <v>324</v>
      </c>
      <c r="H93" s="24">
        <v>1</v>
      </c>
      <c r="I93" s="54"/>
      <c r="J93" s="24"/>
    </row>
    <row r="94" spans="1:10">
      <c r="A94" s="35">
        <f t="shared" si="4"/>
        <v>522</v>
      </c>
      <c r="B94" s="35" t="str">
        <f>INDEX(武器技能设计!$B$2:$B$17,MATCH(D94,武器技能设计!$A$2:$A$17,0))</f>
        <v>回旋镖</v>
      </c>
      <c r="C94" s="46" t="s">
        <v>322</v>
      </c>
      <c r="D94" s="35">
        <f t="shared" si="3"/>
        <v>5</v>
      </c>
      <c r="E94" s="35">
        <f t="shared" si="1"/>
        <v>99</v>
      </c>
      <c r="F94" s="46" t="s">
        <v>367</v>
      </c>
      <c r="G94" s="35" t="s">
        <v>358</v>
      </c>
      <c r="H94" s="24">
        <v>0.5</v>
      </c>
      <c r="I94" s="54"/>
      <c r="J94" s="24"/>
    </row>
    <row r="95" spans="1:10">
      <c r="A95" s="35">
        <f t="shared" si="4"/>
        <v>523</v>
      </c>
      <c r="B95" s="35" t="str">
        <f>INDEX(武器技能设计!$B$2:$B$17,MATCH(D95,武器技能设计!$A$2:$A$17,0))</f>
        <v>回旋镖</v>
      </c>
      <c r="C95" s="46" t="s">
        <v>359</v>
      </c>
      <c r="D95" s="35">
        <f t="shared" si="3"/>
        <v>5</v>
      </c>
      <c r="E95" s="35">
        <f t="shared" si="1"/>
        <v>99</v>
      </c>
      <c r="F95" s="46" t="s">
        <v>368</v>
      </c>
      <c r="G95" s="35" t="s">
        <v>359</v>
      </c>
      <c r="H95" s="24">
        <v>1</v>
      </c>
      <c r="I95" s="54"/>
      <c r="J95" s="24"/>
    </row>
    <row r="96" spans="1:10">
      <c r="A96" s="35">
        <f t="shared" si="4"/>
        <v>524</v>
      </c>
      <c r="B96" s="35" t="str">
        <f>INDEX(武器技能设计!$B$2:$B$17,MATCH(D96,武器技能设计!$A$2:$A$17,0))</f>
        <v>回旋镖</v>
      </c>
      <c r="C96" s="46" t="s">
        <v>360</v>
      </c>
      <c r="D96" s="35">
        <f t="shared" si="3"/>
        <v>5</v>
      </c>
      <c r="E96" s="35">
        <f t="shared" si="1"/>
        <v>99</v>
      </c>
      <c r="F96" s="46" t="s">
        <v>369</v>
      </c>
      <c r="G96" s="35" t="s">
        <v>230</v>
      </c>
      <c r="H96" s="24">
        <v>0.3</v>
      </c>
      <c r="I96" s="54"/>
      <c r="J96" s="24"/>
    </row>
    <row r="97" spans="1:10">
      <c r="A97" s="35">
        <f t="shared" si="4"/>
        <v>531</v>
      </c>
      <c r="B97" s="35" t="str">
        <f>INDEX(武器技能设计!$B$2:$B$17,MATCH(D97,武器技能设计!$A$2:$A$17,0))</f>
        <v>回旋镖</v>
      </c>
      <c r="C97" s="44" t="s">
        <v>57</v>
      </c>
      <c r="D97" s="35">
        <f t="shared" si="3"/>
        <v>5</v>
      </c>
      <c r="E97" s="35">
        <f t="shared" si="1"/>
        <v>1</v>
      </c>
      <c r="F97" s="44" t="s">
        <v>57</v>
      </c>
      <c r="G97" s="35" t="s">
        <v>299</v>
      </c>
      <c r="H97" s="24">
        <v>1</v>
      </c>
      <c r="I97" s="54"/>
      <c r="J97" s="24"/>
    </row>
    <row r="98" spans="1:10">
      <c r="A98" s="35">
        <f t="shared" si="4"/>
        <v>532</v>
      </c>
      <c r="B98" s="35" t="str">
        <f>INDEX(武器技能设计!$B$2:$B$17,MATCH(D98,武器技能设计!$A$2:$A$17,0))</f>
        <v>回旋镖</v>
      </c>
      <c r="C98" s="44" t="s">
        <v>58</v>
      </c>
      <c r="D98" s="35">
        <f t="shared" si="3"/>
        <v>5</v>
      </c>
      <c r="E98" s="35">
        <f t="shared" si="1"/>
        <v>1</v>
      </c>
      <c r="F98" s="44" t="s">
        <v>384</v>
      </c>
      <c r="G98" s="35" t="s">
        <v>341</v>
      </c>
      <c r="H98" s="24">
        <v>0.25</v>
      </c>
      <c r="I98" s="54"/>
      <c r="J98" s="24"/>
    </row>
    <row r="99" spans="1:10">
      <c r="A99" s="35">
        <f t="shared" si="4"/>
        <v>541</v>
      </c>
      <c r="B99" s="35" t="str">
        <f>INDEX(武器技能设计!$B$2:$B$17,MATCH(D99,武器技能设计!$A$2:$A$17,0))</f>
        <v>回旋镖</v>
      </c>
      <c r="C99" s="46" t="s">
        <v>59</v>
      </c>
      <c r="D99" s="35">
        <f t="shared" si="3"/>
        <v>5</v>
      </c>
      <c r="E99" s="35">
        <f t="shared" si="1"/>
        <v>1</v>
      </c>
      <c r="F99" s="46" t="s">
        <v>59</v>
      </c>
      <c r="G99" s="35" t="s">
        <v>299</v>
      </c>
      <c r="H99" s="24">
        <v>2</v>
      </c>
      <c r="I99" s="54"/>
      <c r="J99" s="24"/>
    </row>
    <row r="100" spans="1:10">
      <c r="A100" s="35">
        <f t="shared" si="4"/>
        <v>542</v>
      </c>
      <c r="B100" s="35" t="str">
        <f>INDEX(武器技能设计!$B$2:$B$17,MATCH(D100,武器技能设计!$A$2:$A$17,0))</f>
        <v>回旋镖</v>
      </c>
      <c r="C100" s="46" t="s">
        <v>60</v>
      </c>
      <c r="D100" s="35">
        <f t="shared" si="3"/>
        <v>5</v>
      </c>
      <c r="E100" s="35">
        <f t="shared" ref="E100:E163" si="5">E83</f>
        <v>1</v>
      </c>
      <c r="F100" s="46" t="s">
        <v>385</v>
      </c>
      <c r="G100" s="35" t="s">
        <v>324</v>
      </c>
      <c r="H100" s="24">
        <v>1</v>
      </c>
      <c r="I100" s="54" t="s">
        <v>324</v>
      </c>
      <c r="J100" s="24">
        <v>1.5</v>
      </c>
    </row>
    <row r="101" spans="1:10">
      <c r="A101" s="35">
        <f t="shared" si="4"/>
        <v>551</v>
      </c>
      <c r="B101" s="35" t="str">
        <f>INDEX(武器技能设计!$B$2:$B$17,MATCH(D101,武器技能设计!$A$2:$A$17,0))</f>
        <v>回旋镖</v>
      </c>
      <c r="C101" s="47" t="s">
        <v>61</v>
      </c>
      <c r="D101" s="35">
        <f t="shared" si="3"/>
        <v>5</v>
      </c>
      <c r="E101" s="35">
        <f t="shared" si="5"/>
        <v>1</v>
      </c>
      <c r="F101" s="47" t="s">
        <v>61</v>
      </c>
      <c r="G101" s="35" t="s">
        <v>299</v>
      </c>
      <c r="H101" s="24">
        <v>3</v>
      </c>
      <c r="I101" s="54" t="s">
        <v>322</v>
      </c>
      <c r="J101" s="24">
        <v>0.5</v>
      </c>
    </row>
    <row r="102" s="36" customFormat="1" ht="14.55" spans="1:37">
      <c r="A102" s="72">
        <f t="shared" si="4"/>
        <v>552</v>
      </c>
      <c r="B102" s="72" t="str">
        <f>INDEX(武器技能设计!$B$2:$B$17,MATCH(D102,武器技能设计!$A$2:$A$17,0))</f>
        <v>回旋镖</v>
      </c>
      <c r="C102" s="48" t="s">
        <v>62</v>
      </c>
      <c r="D102" s="72">
        <f t="shared" si="3"/>
        <v>5</v>
      </c>
      <c r="E102" s="72">
        <f t="shared" si="5"/>
        <v>1</v>
      </c>
      <c r="F102" s="48" t="s">
        <v>386</v>
      </c>
      <c r="G102" s="72" t="s">
        <v>331</v>
      </c>
      <c r="H102" s="79">
        <v>2</v>
      </c>
      <c r="I102" s="86" t="s">
        <v>334</v>
      </c>
      <c r="J102" s="79">
        <v>2</v>
      </c>
      <c r="O102" s="87"/>
      <c r="R102" s="81"/>
      <c r="X102" s="87"/>
      <c r="Y102" s="81"/>
      <c r="Z102" s="87"/>
      <c r="AA102" s="81"/>
      <c r="AF102" s="87"/>
      <c r="AG102" s="87"/>
      <c r="AH102" s="87"/>
      <c r="AI102" s="87"/>
      <c r="AJ102" s="87"/>
      <c r="AK102" s="81"/>
    </row>
    <row r="103" spans="1:10">
      <c r="A103" s="78">
        <f t="shared" si="4"/>
        <v>601</v>
      </c>
      <c r="B103" s="78" t="str">
        <f>INDEX(武器技能设计!$B$2:$B$17,MATCH(D103,武器技能设计!$A$2:$A$17,0))</f>
        <v>飞剑</v>
      </c>
      <c r="C103" s="76" t="s">
        <v>355</v>
      </c>
      <c r="D103" s="78">
        <f t="shared" si="3"/>
        <v>6</v>
      </c>
      <c r="E103" s="78">
        <f t="shared" si="5"/>
        <v>99</v>
      </c>
      <c r="F103" s="41" t="s">
        <v>356</v>
      </c>
      <c r="G103" s="78" t="s">
        <v>324</v>
      </c>
      <c r="H103" s="80">
        <v>0.25</v>
      </c>
      <c r="I103" s="88"/>
      <c r="J103" s="80"/>
    </row>
    <row r="104" spans="1:10">
      <c r="A104" s="35">
        <f t="shared" ref="A104:A144" si="6">A87+100</f>
        <v>602</v>
      </c>
      <c r="B104" s="35" t="str">
        <f>INDEX(武器技能设计!$B$2:$B$17,MATCH(D104,武器技能设计!$A$2:$A$17,0))</f>
        <v>飞剑</v>
      </c>
      <c r="C104" s="41" t="s">
        <v>322</v>
      </c>
      <c r="D104" s="35">
        <f t="shared" si="3"/>
        <v>6</v>
      </c>
      <c r="E104" s="35">
        <f t="shared" si="5"/>
        <v>99</v>
      </c>
      <c r="F104" s="41" t="s">
        <v>357</v>
      </c>
      <c r="G104" s="35" t="s">
        <v>358</v>
      </c>
      <c r="H104" s="24">
        <v>0.15</v>
      </c>
      <c r="I104" s="54"/>
      <c r="J104" s="24"/>
    </row>
    <row r="105" spans="1:10">
      <c r="A105" s="35">
        <f t="shared" si="6"/>
        <v>603</v>
      </c>
      <c r="B105" s="35" t="str">
        <f>INDEX(武器技能设计!$B$2:$B$17,MATCH(D105,武器技能设计!$A$2:$A$17,0))</f>
        <v>飞剑</v>
      </c>
      <c r="C105" s="41" t="s">
        <v>360</v>
      </c>
      <c r="D105" s="35">
        <f t="shared" si="3"/>
        <v>6</v>
      </c>
      <c r="E105" s="35">
        <f t="shared" si="5"/>
        <v>99</v>
      </c>
      <c r="F105" s="41" t="s">
        <v>361</v>
      </c>
      <c r="G105" s="35" t="s">
        <v>230</v>
      </c>
      <c r="H105" s="24">
        <v>0.1</v>
      </c>
      <c r="I105" s="54"/>
      <c r="J105" s="24"/>
    </row>
    <row r="106" spans="1:10">
      <c r="A106" s="35">
        <f t="shared" si="6"/>
        <v>611</v>
      </c>
      <c r="B106" s="35" t="str">
        <f>INDEX(武器技能设计!$B$2:$B$17,MATCH(D106,武器技能设计!$A$2:$A$17,0))</f>
        <v>飞剑</v>
      </c>
      <c r="C106" s="44" t="s">
        <v>355</v>
      </c>
      <c r="D106" s="35">
        <f t="shared" si="3"/>
        <v>6</v>
      </c>
      <c r="E106" s="35">
        <f t="shared" si="5"/>
        <v>99</v>
      </c>
      <c r="F106" s="44" t="s">
        <v>362</v>
      </c>
      <c r="G106" s="35" t="s">
        <v>324</v>
      </c>
      <c r="H106" s="24">
        <v>0.5</v>
      </c>
      <c r="I106" s="54"/>
      <c r="J106" s="24"/>
    </row>
    <row r="107" spans="1:10">
      <c r="A107" s="35">
        <f t="shared" si="6"/>
        <v>612</v>
      </c>
      <c r="B107" s="35" t="str">
        <f>INDEX(武器技能设计!$B$2:$B$17,MATCH(D107,武器技能设计!$A$2:$A$17,0))</f>
        <v>飞剑</v>
      </c>
      <c r="C107" s="44" t="s">
        <v>322</v>
      </c>
      <c r="D107" s="35">
        <f t="shared" si="3"/>
        <v>6</v>
      </c>
      <c r="E107" s="35">
        <f t="shared" si="5"/>
        <v>99</v>
      </c>
      <c r="F107" s="44" t="s">
        <v>363</v>
      </c>
      <c r="G107" s="35" t="s">
        <v>358</v>
      </c>
      <c r="H107" s="24">
        <v>0.25</v>
      </c>
      <c r="I107" s="54"/>
      <c r="J107" s="24"/>
    </row>
    <row r="108" spans="1:10">
      <c r="A108" s="35">
        <f t="shared" si="6"/>
        <v>613</v>
      </c>
      <c r="B108" s="35" t="str">
        <f>INDEX(武器技能设计!$B$2:$B$17,MATCH(D108,武器技能设计!$A$2:$A$17,0))</f>
        <v>飞剑</v>
      </c>
      <c r="C108" s="44" t="s">
        <v>359</v>
      </c>
      <c r="D108" s="35">
        <f t="shared" si="3"/>
        <v>6</v>
      </c>
      <c r="E108" s="35">
        <f t="shared" si="5"/>
        <v>99</v>
      </c>
      <c r="F108" s="44" t="s">
        <v>364</v>
      </c>
      <c r="G108" s="35" t="s">
        <v>359</v>
      </c>
      <c r="H108" s="24">
        <v>0.5</v>
      </c>
      <c r="I108" s="54"/>
      <c r="J108" s="24"/>
    </row>
    <row r="109" spans="1:10">
      <c r="A109" s="35">
        <f t="shared" si="6"/>
        <v>614</v>
      </c>
      <c r="B109" s="35" t="str">
        <f>INDEX(武器技能设计!$B$2:$B$17,MATCH(D109,武器技能设计!$A$2:$A$17,0))</f>
        <v>飞剑</v>
      </c>
      <c r="C109" s="44" t="s">
        <v>360</v>
      </c>
      <c r="D109" s="35">
        <f t="shared" si="3"/>
        <v>6</v>
      </c>
      <c r="E109" s="35">
        <f t="shared" si="5"/>
        <v>99</v>
      </c>
      <c r="F109" s="44" t="s">
        <v>365</v>
      </c>
      <c r="G109" s="35" t="s">
        <v>230</v>
      </c>
      <c r="H109" s="24">
        <v>0.2</v>
      </c>
      <c r="I109" s="54"/>
      <c r="J109" s="24"/>
    </row>
    <row r="110" spans="1:10">
      <c r="A110" s="35">
        <f t="shared" si="6"/>
        <v>621</v>
      </c>
      <c r="B110" s="35" t="str">
        <f>INDEX(武器技能设计!$B$2:$B$17,MATCH(D110,武器技能设计!$A$2:$A$17,0))</f>
        <v>飞剑</v>
      </c>
      <c r="C110" s="46" t="s">
        <v>355</v>
      </c>
      <c r="D110" s="35">
        <f t="shared" si="3"/>
        <v>6</v>
      </c>
      <c r="E110" s="35">
        <f t="shared" si="5"/>
        <v>99</v>
      </c>
      <c r="F110" s="46" t="s">
        <v>366</v>
      </c>
      <c r="G110" s="35" t="s">
        <v>324</v>
      </c>
      <c r="H110" s="24">
        <v>1</v>
      </c>
      <c r="I110" s="54"/>
      <c r="J110" s="24"/>
    </row>
    <row r="111" spans="1:10">
      <c r="A111" s="35">
        <f t="shared" si="6"/>
        <v>622</v>
      </c>
      <c r="B111" s="35" t="str">
        <f>INDEX(武器技能设计!$B$2:$B$17,MATCH(D111,武器技能设计!$A$2:$A$17,0))</f>
        <v>飞剑</v>
      </c>
      <c r="C111" s="46" t="s">
        <v>322</v>
      </c>
      <c r="D111" s="35">
        <f t="shared" si="3"/>
        <v>6</v>
      </c>
      <c r="E111" s="35">
        <f t="shared" si="5"/>
        <v>99</v>
      </c>
      <c r="F111" s="46" t="s">
        <v>367</v>
      </c>
      <c r="G111" s="35" t="s">
        <v>358</v>
      </c>
      <c r="H111" s="24">
        <v>0.5</v>
      </c>
      <c r="I111" s="54"/>
      <c r="J111" s="24"/>
    </row>
    <row r="112" spans="1:10">
      <c r="A112" s="35">
        <f t="shared" si="6"/>
        <v>623</v>
      </c>
      <c r="B112" s="35" t="str">
        <f>INDEX(武器技能设计!$B$2:$B$17,MATCH(D112,武器技能设计!$A$2:$A$17,0))</f>
        <v>飞剑</v>
      </c>
      <c r="C112" s="46" t="s">
        <v>359</v>
      </c>
      <c r="D112" s="35">
        <f t="shared" si="3"/>
        <v>6</v>
      </c>
      <c r="E112" s="35">
        <f t="shared" si="5"/>
        <v>99</v>
      </c>
      <c r="F112" s="46" t="s">
        <v>368</v>
      </c>
      <c r="G112" s="35" t="s">
        <v>359</v>
      </c>
      <c r="H112" s="24">
        <v>1</v>
      </c>
      <c r="I112" s="54"/>
      <c r="J112" s="24"/>
    </row>
    <row r="113" spans="1:10">
      <c r="A113" s="35">
        <f t="shared" si="6"/>
        <v>624</v>
      </c>
      <c r="B113" s="35" t="str">
        <f>INDEX(武器技能设计!$B$2:$B$17,MATCH(D113,武器技能设计!$A$2:$A$17,0))</f>
        <v>飞剑</v>
      </c>
      <c r="C113" s="46" t="s">
        <v>360</v>
      </c>
      <c r="D113" s="35">
        <f t="shared" si="3"/>
        <v>6</v>
      </c>
      <c r="E113" s="35">
        <f t="shared" si="5"/>
        <v>99</v>
      </c>
      <c r="F113" s="46" t="s">
        <v>369</v>
      </c>
      <c r="G113" s="35" t="s">
        <v>230</v>
      </c>
      <c r="H113" s="24">
        <v>0.3</v>
      </c>
      <c r="I113" s="54"/>
      <c r="J113" s="24"/>
    </row>
    <row r="114" spans="1:10">
      <c r="A114" s="35">
        <f t="shared" si="6"/>
        <v>631</v>
      </c>
      <c r="B114" s="35" t="str">
        <f>INDEX(武器技能设计!$B$2:$B$17,MATCH(D114,武器技能设计!$A$2:$A$17,0))</f>
        <v>飞剑</v>
      </c>
      <c r="C114" s="44" t="s">
        <v>35</v>
      </c>
      <c r="D114" s="35">
        <f t="shared" si="3"/>
        <v>6</v>
      </c>
      <c r="E114" s="35">
        <f t="shared" si="5"/>
        <v>1</v>
      </c>
      <c r="F114" s="44" t="s">
        <v>35</v>
      </c>
      <c r="G114" s="35" t="s">
        <v>299</v>
      </c>
      <c r="H114" s="24">
        <v>1</v>
      </c>
      <c r="I114" s="54"/>
      <c r="J114" s="24"/>
    </row>
    <row r="115" spans="1:10">
      <c r="A115" s="35">
        <f t="shared" si="6"/>
        <v>632</v>
      </c>
      <c r="B115" s="35" t="str">
        <f>INDEX(武器技能设计!$B$2:$B$17,MATCH(D115,武器技能设计!$A$2:$A$17,0))</f>
        <v>飞剑</v>
      </c>
      <c r="C115" s="44" t="s">
        <v>36</v>
      </c>
      <c r="D115" s="35">
        <f t="shared" si="3"/>
        <v>6</v>
      </c>
      <c r="E115" s="35">
        <f t="shared" si="5"/>
        <v>1</v>
      </c>
      <c r="F115" s="44" t="s">
        <v>387</v>
      </c>
      <c r="G115" s="35" t="s">
        <v>324</v>
      </c>
      <c r="H115" s="24">
        <v>0.25</v>
      </c>
      <c r="I115" s="54"/>
      <c r="J115" s="24"/>
    </row>
    <row r="116" spans="1:10">
      <c r="A116" s="35">
        <f t="shared" si="6"/>
        <v>641</v>
      </c>
      <c r="B116" s="35" t="str">
        <f>INDEX(武器技能设计!$B$2:$B$17,MATCH(D116,武器技能设计!$A$2:$A$17,0))</f>
        <v>飞剑</v>
      </c>
      <c r="C116" s="46" t="s">
        <v>65</v>
      </c>
      <c r="D116" s="35">
        <f t="shared" si="3"/>
        <v>6</v>
      </c>
      <c r="E116" s="35">
        <f t="shared" si="5"/>
        <v>1</v>
      </c>
      <c r="F116" s="46" t="s">
        <v>388</v>
      </c>
      <c r="G116" s="35" t="s">
        <v>324</v>
      </c>
      <c r="H116" s="24">
        <v>2</v>
      </c>
      <c r="I116" s="54"/>
      <c r="J116" s="24"/>
    </row>
    <row r="117" spans="1:10">
      <c r="A117" s="35">
        <f t="shared" si="6"/>
        <v>642</v>
      </c>
      <c r="B117" s="35" t="str">
        <f>INDEX(武器技能设计!$B$2:$B$17,MATCH(D117,武器技能设计!$A$2:$A$17,0))</f>
        <v>飞剑</v>
      </c>
      <c r="C117" s="46" t="s">
        <v>66</v>
      </c>
      <c r="D117" s="35">
        <f t="shared" ref="D117:D180" si="7">D100+1</f>
        <v>6</v>
      </c>
      <c r="E117" s="35">
        <f t="shared" si="5"/>
        <v>1</v>
      </c>
      <c r="F117" s="46" t="s">
        <v>66</v>
      </c>
      <c r="G117" s="35" t="s">
        <v>299</v>
      </c>
      <c r="H117" s="24">
        <v>2</v>
      </c>
      <c r="I117" s="54"/>
      <c r="J117" s="24"/>
    </row>
    <row r="118" spans="1:10">
      <c r="A118" s="35">
        <f t="shared" si="6"/>
        <v>651</v>
      </c>
      <c r="B118" s="35" t="str">
        <f>INDEX(武器技能设计!$B$2:$B$17,MATCH(D118,武器技能设计!$A$2:$A$17,0))</f>
        <v>飞剑</v>
      </c>
      <c r="C118" s="47" t="s">
        <v>67</v>
      </c>
      <c r="D118" s="35">
        <f t="shared" si="7"/>
        <v>6</v>
      </c>
      <c r="E118" s="35">
        <f t="shared" si="5"/>
        <v>1</v>
      </c>
      <c r="F118" s="47" t="s">
        <v>383</v>
      </c>
      <c r="G118" s="35" t="s">
        <v>334</v>
      </c>
      <c r="H118" s="24">
        <v>2</v>
      </c>
      <c r="I118" s="54" t="s">
        <v>324</v>
      </c>
      <c r="J118" s="24">
        <v>3</v>
      </c>
    </row>
    <row r="119" s="36" customFormat="1" ht="14.55" spans="1:37">
      <c r="A119" s="72">
        <f t="shared" si="6"/>
        <v>652</v>
      </c>
      <c r="B119" s="72" t="str">
        <f>INDEX(武器技能设计!$B$2:$B$17,MATCH(D119,武器技能设计!$A$2:$A$17,0))</f>
        <v>飞剑</v>
      </c>
      <c r="C119" s="48" t="s">
        <v>389</v>
      </c>
      <c r="D119" s="72">
        <f t="shared" si="7"/>
        <v>6</v>
      </c>
      <c r="E119" s="72">
        <f t="shared" si="5"/>
        <v>1</v>
      </c>
      <c r="F119" s="48" t="s">
        <v>389</v>
      </c>
      <c r="G119" s="72" t="s">
        <v>324</v>
      </c>
      <c r="H119" s="79">
        <v>2</v>
      </c>
      <c r="I119" s="86" t="s">
        <v>358</v>
      </c>
      <c r="J119" s="79">
        <v>2</v>
      </c>
      <c r="O119" s="87"/>
      <c r="R119" s="81"/>
      <c r="X119" s="87"/>
      <c r="Y119" s="81"/>
      <c r="Z119" s="87"/>
      <c r="AA119" s="81"/>
      <c r="AF119" s="87"/>
      <c r="AG119" s="87"/>
      <c r="AH119" s="87"/>
      <c r="AI119" s="87"/>
      <c r="AJ119" s="87"/>
      <c r="AK119" s="81"/>
    </row>
    <row r="120" spans="1:10">
      <c r="A120" s="78">
        <f t="shared" si="6"/>
        <v>701</v>
      </c>
      <c r="B120" s="78" t="str">
        <f>INDEX(武器技能设计!$B$2:$B$17,MATCH(D120,武器技能设计!$A$2:$A$17,0))</f>
        <v>法杖</v>
      </c>
      <c r="C120" s="76" t="s">
        <v>355</v>
      </c>
      <c r="D120" s="78">
        <f t="shared" si="7"/>
        <v>7</v>
      </c>
      <c r="E120" s="78">
        <f t="shared" si="5"/>
        <v>99</v>
      </c>
      <c r="F120" s="41" t="s">
        <v>356</v>
      </c>
      <c r="G120" s="78" t="s">
        <v>324</v>
      </c>
      <c r="H120" s="80">
        <v>0.25</v>
      </c>
      <c r="I120" s="88"/>
      <c r="J120" s="80"/>
    </row>
    <row r="121" spans="1:10">
      <c r="A121" s="35">
        <f t="shared" si="6"/>
        <v>702</v>
      </c>
      <c r="B121" s="35" t="str">
        <f>INDEX(武器技能设计!$B$2:$B$17,MATCH(D121,武器技能设计!$A$2:$A$17,0))</f>
        <v>法杖</v>
      </c>
      <c r="C121" s="41" t="s">
        <v>322</v>
      </c>
      <c r="D121" s="35">
        <f t="shared" si="7"/>
        <v>7</v>
      </c>
      <c r="E121" s="35">
        <f t="shared" si="5"/>
        <v>99</v>
      </c>
      <c r="F121" s="41" t="s">
        <v>357</v>
      </c>
      <c r="G121" s="35" t="s">
        <v>358</v>
      </c>
      <c r="H121" s="24">
        <v>0.15</v>
      </c>
      <c r="I121" s="54"/>
      <c r="J121" s="24"/>
    </row>
    <row r="122" spans="1:10">
      <c r="A122" s="35">
        <f t="shared" si="6"/>
        <v>703</v>
      </c>
      <c r="B122" s="35" t="str">
        <f>INDEX(武器技能设计!$B$2:$B$17,MATCH(D122,武器技能设计!$A$2:$A$17,0))</f>
        <v>法杖</v>
      </c>
      <c r="C122" s="41" t="s">
        <v>360</v>
      </c>
      <c r="D122" s="35">
        <f t="shared" si="7"/>
        <v>7</v>
      </c>
      <c r="E122" s="35">
        <f t="shared" si="5"/>
        <v>99</v>
      </c>
      <c r="F122" s="41" t="s">
        <v>361</v>
      </c>
      <c r="G122" s="35" t="s">
        <v>230</v>
      </c>
      <c r="H122" s="24">
        <v>0.1</v>
      </c>
      <c r="I122" s="54"/>
      <c r="J122" s="24"/>
    </row>
    <row r="123" spans="1:10">
      <c r="A123" s="35">
        <f t="shared" si="6"/>
        <v>711</v>
      </c>
      <c r="B123" s="35" t="str">
        <f>INDEX(武器技能设计!$B$2:$B$17,MATCH(D123,武器技能设计!$A$2:$A$17,0))</f>
        <v>法杖</v>
      </c>
      <c r="C123" s="44" t="s">
        <v>355</v>
      </c>
      <c r="D123" s="35">
        <f t="shared" si="7"/>
        <v>7</v>
      </c>
      <c r="E123" s="35">
        <f t="shared" si="5"/>
        <v>99</v>
      </c>
      <c r="F123" s="44" t="s">
        <v>362</v>
      </c>
      <c r="G123" s="35" t="s">
        <v>324</v>
      </c>
      <c r="H123" s="24">
        <v>0.5</v>
      </c>
      <c r="I123" s="54"/>
      <c r="J123" s="24"/>
    </row>
    <row r="124" spans="1:10">
      <c r="A124" s="35">
        <f t="shared" si="6"/>
        <v>712</v>
      </c>
      <c r="B124" s="35" t="str">
        <f>INDEX(武器技能设计!$B$2:$B$17,MATCH(D124,武器技能设计!$A$2:$A$17,0))</f>
        <v>法杖</v>
      </c>
      <c r="C124" s="44" t="s">
        <v>322</v>
      </c>
      <c r="D124" s="35">
        <f t="shared" si="7"/>
        <v>7</v>
      </c>
      <c r="E124" s="35">
        <f t="shared" si="5"/>
        <v>99</v>
      </c>
      <c r="F124" s="44" t="s">
        <v>363</v>
      </c>
      <c r="G124" s="35" t="s">
        <v>358</v>
      </c>
      <c r="H124" s="24">
        <v>0.25</v>
      </c>
      <c r="I124" s="54"/>
      <c r="J124" s="24"/>
    </row>
    <row r="125" spans="1:10">
      <c r="A125" s="35">
        <f t="shared" si="6"/>
        <v>713</v>
      </c>
      <c r="B125" s="35" t="str">
        <f>INDEX(武器技能设计!$B$2:$B$17,MATCH(D125,武器技能设计!$A$2:$A$17,0))</f>
        <v>法杖</v>
      </c>
      <c r="C125" s="44" t="s">
        <v>359</v>
      </c>
      <c r="D125" s="35">
        <f t="shared" si="7"/>
        <v>7</v>
      </c>
      <c r="E125" s="35">
        <f t="shared" si="5"/>
        <v>99</v>
      </c>
      <c r="F125" s="44" t="s">
        <v>364</v>
      </c>
      <c r="G125" s="35" t="s">
        <v>359</v>
      </c>
      <c r="H125" s="24">
        <v>0.5</v>
      </c>
      <c r="I125" s="54"/>
      <c r="J125" s="24"/>
    </row>
    <row r="126" spans="1:10">
      <c r="A126" s="35">
        <f t="shared" si="6"/>
        <v>714</v>
      </c>
      <c r="B126" s="35" t="str">
        <f>INDEX(武器技能设计!$B$2:$B$17,MATCH(D126,武器技能设计!$A$2:$A$17,0))</f>
        <v>法杖</v>
      </c>
      <c r="C126" s="44" t="s">
        <v>360</v>
      </c>
      <c r="D126" s="35">
        <f t="shared" si="7"/>
        <v>7</v>
      </c>
      <c r="E126" s="35">
        <f t="shared" si="5"/>
        <v>99</v>
      </c>
      <c r="F126" s="44" t="s">
        <v>365</v>
      </c>
      <c r="G126" s="35" t="s">
        <v>230</v>
      </c>
      <c r="H126" s="24">
        <v>0.2</v>
      </c>
      <c r="I126" s="54"/>
      <c r="J126" s="24"/>
    </row>
    <row r="127" spans="1:10">
      <c r="A127" s="35">
        <f t="shared" si="6"/>
        <v>721</v>
      </c>
      <c r="B127" s="35" t="str">
        <f>INDEX(武器技能设计!$B$2:$B$17,MATCH(D127,武器技能设计!$A$2:$A$17,0))</f>
        <v>法杖</v>
      </c>
      <c r="C127" s="46" t="s">
        <v>355</v>
      </c>
      <c r="D127" s="35">
        <f t="shared" si="7"/>
        <v>7</v>
      </c>
      <c r="E127" s="35">
        <f t="shared" si="5"/>
        <v>99</v>
      </c>
      <c r="F127" s="46" t="s">
        <v>366</v>
      </c>
      <c r="G127" s="35" t="s">
        <v>324</v>
      </c>
      <c r="H127" s="24">
        <v>1</v>
      </c>
      <c r="I127" s="54"/>
      <c r="J127" s="24"/>
    </row>
    <row r="128" spans="1:10">
      <c r="A128" s="35">
        <f t="shared" si="6"/>
        <v>722</v>
      </c>
      <c r="B128" s="35" t="str">
        <f>INDEX(武器技能设计!$B$2:$B$17,MATCH(D128,武器技能设计!$A$2:$A$17,0))</f>
        <v>法杖</v>
      </c>
      <c r="C128" s="46" t="s">
        <v>322</v>
      </c>
      <c r="D128" s="35">
        <f t="shared" si="7"/>
        <v>7</v>
      </c>
      <c r="E128" s="35">
        <f t="shared" si="5"/>
        <v>99</v>
      </c>
      <c r="F128" s="46" t="s">
        <v>367</v>
      </c>
      <c r="G128" s="35" t="s">
        <v>358</v>
      </c>
      <c r="H128" s="24">
        <v>0.5</v>
      </c>
      <c r="I128" s="54"/>
      <c r="J128" s="24"/>
    </row>
    <row r="129" spans="1:10">
      <c r="A129" s="35">
        <f t="shared" si="6"/>
        <v>723</v>
      </c>
      <c r="B129" s="35" t="str">
        <f>INDEX(武器技能设计!$B$2:$B$17,MATCH(D129,武器技能设计!$A$2:$A$17,0))</f>
        <v>法杖</v>
      </c>
      <c r="C129" s="46" t="s">
        <v>359</v>
      </c>
      <c r="D129" s="35">
        <f t="shared" si="7"/>
        <v>7</v>
      </c>
      <c r="E129" s="35">
        <f t="shared" si="5"/>
        <v>99</v>
      </c>
      <c r="F129" s="46" t="s">
        <v>368</v>
      </c>
      <c r="G129" s="35" t="s">
        <v>359</v>
      </c>
      <c r="H129" s="24">
        <v>1</v>
      </c>
      <c r="I129" s="54"/>
      <c r="J129" s="24"/>
    </row>
    <row r="130" spans="1:10">
      <c r="A130" s="35">
        <f t="shared" si="6"/>
        <v>724</v>
      </c>
      <c r="B130" s="35" t="str">
        <f>INDEX(武器技能设计!$B$2:$B$17,MATCH(D130,武器技能设计!$A$2:$A$17,0))</f>
        <v>法杖</v>
      </c>
      <c r="C130" s="46" t="s">
        <v>360</v>
      </c>
      <c r="D130" s="35">
        <f t="shared" si="7"/>
        <v>7</v>
      </c>
      <c r="E130" s="35">
        <f t="shared" si="5"/>
        <v>99</v>
      </c>
      <c r="F130" s="46" t="s">
        <v>369</v>
      </c>
      <c r="G130" s="35" t="s">
        <v>230</v>
      </c>
      <c r="H130" s="24">
        <v>0.3</v>
      </c>
      <c r="I130" s="54"/>
      <c r="J130" s="24"/>
    </row>
    <row r="131" spans="1:10">
      <c r="A131" s="35">
        <f t="shared" si="6"/>
        <v>731</v>
      </c>
      <c r="B131" s="35" t="str">
        <f>INDEX(武器技能设计!$B$2:$B$17,MATCH(D131,武器技能设计!$A$2:$A$17,0))</f>
        <v>法杖</v>
      </c>
      <c r="C131" s="44" t="s">
        <v>70</v>
      </c>
      <c r="D131" s="35">
        <f t="shared" si="7"/>
        <v>7</v>
      </c>
      <c r="E131" s="35">
        <f t="shared" si="5"/>
        <v>1</v>
      </c>
      <c r="F131" s="44" t="s">
        <v>390</v>
      </c>
      <c r="G131" s="35" t="s">
        <v>324</v>
      </c>
      <c r="H131" s="24">
        <v>0.25</v>
      </c>
      <c r="I131" s="54"/>
      <c r="J131" s="24"/>
    </row>
    <row r="132" spans="1:10">
      <c r="A132" s="35">
        <f t="shared" si="6"/>
        <v>732</v>
      </c>
      <c r="B132" s="35" t="str">
        <f>INDEX(武器技能设计!$B$2:$B$17,MATCH(D132,武器技能设计!$A$2:$A$17,0))</f>
        <v>法杖</v>
      </c>
      <c r="C132" s="44" t="s">
        <v>391</v>
      </c>
      <c r="D132" s="35">
        <f t="shared" si="7"/>
        <v>7</v>
      </c>
      <c r="E132" s="35">
        <f t="shared" si="5"/>
        <v>1</v>
      </c>
      <c r="F132" s="44" t="s">
        <v>391</v>
      </c>
      <c r="G132" s="35" t="s">
        <v>342</v>
      </c>
      <c r="H132" s="24">
        <v>2</v>
      </c>
      <c r="I132" s="54"/>
      <c r="J132" s="24"/>
    </row>
    <row r="133" spans="1:10">
      <c r="A133" s="35">
        <f t="shared" si="6"/>
        <v>741</v>
      </c>
      <c r="B133" s="35" t="str">
        <f>INDEX(武器技能设计!$B$2:$B$17,MATCH(D133,武器技能设计!$A$2:$A$17,0))</f>
        <v>法杖</v>
      </c>
      <c r="C133" s="46" t="s">
        <v>72</v>
      </c>
      <c r="D133" s="35">
        <f t="shared" si="7"/>
        <v>7</v>
      </c>
      <c r="E133" s="35">
        <f t="shared" si="5"/>
        <v>1</v>
      </c>
      <c r="F133" s="46" t="s">
        <v>392</v>
      </c>
      <c r="G133" s="35" t="s">
        <v>331</v>
      </c>
      <c r="H133" s="24">
        <v>1</v>
      </c>
      <c r="I133" s="54" t="s">
        <v>324</v>
      </c>
      <c r="J133" s="24">
        <v>1</v>
      </c>
    </row>
    <row r="134" spans="1:10">
      <c r="A134" s="35">
        <f t="shared" si="6"/>
        <v>742</v>
      </c>
      <c r="B134" s="35" t="str">
        <f>INDEX(武器技能设计!$B$2:$B$17,MATCH(D134,武器技能设计!$A$2:$A$17,0))</f>
        <v>法杖</v>
      </c>
      <c r="C134" s="46" t="s">
        <v>393</v>
      </c>
      <c r="D134" s="35">
        <f t="shared" si="7"/>
        <v>7</v>
      </c>
      <c r="E134" s="35">
        <f t="shared" si="5"/>
        <v>1</v>
      </c>
      <c r="F134" s="46" t="s">
        <v>394</v>
      </c>
      <c r="G134" s="35" t="s">
        <v>342</v>
      </c>
      <c r="H134" s="24">
        <v>2</v>
      </c>
      <c r="I134" s="54" t="s">
        <v>324</v>
      </c>
      <c r="J134" s="24">
        <v>1</v>
      </c>
    </row>
    <row r="135" spans="1:10">
      <c r="A135" s="35">
        <f t="shared" si="6"/>
        <v>751</v>
      </c>
      <c r="B135" s="35" t="str">
        <f>INDEX(武器技能设计!$B$2:$B$17,MATCH(D135,武器技能设计!$A$2:$A$17,0))</f>
        <v>法杖</v>
      </c>
      <c r="C135" s="47" t="s">
        <v>74</v>
      </c>
      <c r="D135" s="35">
        <f t="shared" si="7"/>
        <v>7</v>
      </c>
      <c r="E135" s="35">
        <f t="shared" si="5"/>
        <v>1</v>
      </c>
      <c r="F135" s="47" t="s">
        <v>395</v>
      </c>
      <c r="G135" s="35" t="s">
        <v>324</v>
      </c>
      <c r="H135" s="24">
        <v>2</v>
      </c>
      <c r="I135" s="54" t="s">
        <v>324</v>
      </c>
      <c r="J135" s="24">
        <v>3</v>
      </c>
    </row>
    <row r="136" s="36" customFormat="1" ht="14.55" spans="1:37">
      <c r="A136" s="72">
        <f t="shared" si="6"/>
        <v>752</v>
      </c>
      <c r="B136" s="72" t="str">
        <f>INDEX(武器技能设计!$B$2:$B$17,MATCH(D136,武器技能设计!$A$2:$A$17,0))</f>
        <v>法杖</v>
      </c>
      <c r="C136" s="48" t="s">
        <v>49</v>
      </c>
      <c r="D136" s="72">
        <f t="shared" si="7"/>
        <v>7</v>
      </c>
      <c r="E136" s="72">
        <f t="shared" si="5"/>
        <v>1</v>
      </c>
      <c r="F136" s="48" t="s">
        <v>396</v>
      </c>
      <c r="G136" s="72" t="s">
        <v>334</v>
      </c>
      <c r="H136" s="79">
        <v>4.2</v>
      </c>
      <c r="I136" s="86"/>
      <c r="J136" s="79"/>
      <c r="O136" s="87"/>
      <c r="R136" s="81"/>
      <c r="X136" s="87"/>
      <c r="Y136" s="81"/>
      <c r="Z136" s="87"/>
      <c r="AA136" s="81"/>
      <c r="AF136" s="87"/>
      <c r="AG136" s="87"/>
      <c r="AH136" s="87"/>
      <c r="AI136" s="87"/>
      <c r="AJ136" s="87"/>
      <c r="AK136" s="81"/>
    </row>
    <row r="137" spans="1:10">
      <c r="A137" s="78">
        <f t="shared" si="6"/>
        <v>801</v>
      </c>
      <c r="B137" s="78" t="str">
        <f>INDEX(武器技能设计!$B$2:$B$17,MATCH(D137,武器技能设计!$A$2:$A$17,0))</f>
        <v>符文塔</v>
      </c>
      <c r="C137" s="76" t="s">
        <v>355</v>
      </c>
      <c r="D137" s="78">
        <f t="shared" si="7"/>
        <v>8</v>
      </c>
      <c r="E137" s="78">
        <f t="shared" si="5"/>
        <v>99</v>
      </c>
      <c r="F137" s="41" t="s">
        <v>356</v>
      </c>
      <c r="G137" s="78" t="s">
        <v>324</v>
      </c>
      <c r="H137" s="80">
        <v>0.25</v>
      </c>
      <c r="I137" s="88"/>
      <c r="J137" s="80"/>
    </row>
    <row r="138" spans="1:10">
      <c r="A138" s="35">
        <f t="shared" si="6"/>
        <v>802</v>
      </c>
      <c r="B138" s="35" t="str">
        <f>INDEX(武器技能设计!$B$2:$B$17,MATCH(D138,武器技能设计!$A$2:$A$17,0))</f>
        <v>符文塔</v>
      </c>
      <c r="C138" s="41" t="s">
        <v>322</v>
      </c>
      <c r="D138" s="35">
        <f t="shared" si="7"/>
        <v>8</v>
      </c>
      <c r="E138" s="35">
        <f t="shared" si="5"/>
        <v>99</v>
      </c>
      <c r="F138" s="41" t="s">
        <v>357</v>
      </c>
      <c r="G138" s="35" t="s">
        <v>358</v>
      </c>
      <c r="H138" s="24">
        <v>0.15</v>
      </c>
      <c r="I138" s="54"/>
      <c r="J138" s="24"/>
    </row>
    <row r="139" spans="1:10">
      <c r="A139" s="35">
        <f t="shared" si="6"/>
        <v>803</v>
      </c>
      <c r="B139" s="35" t="str">
        <f>INDEX(武器技能设计!$B$2:$B$17,MATCH(D139,武器技能设计!$A$2:$A$17,0))</f>
        <v>符文塔</v>
      </c>
      <c r="C139" s="41" t="s">
        <v>360</v>
      </c>
      <c r="D139" s="35">
        <f t="shared" si="7"/>
        <v>8</v>
      </c>
      <c r="E139" s="35">
        <f t="shared" si="5"/>
        <v>99</v>
      </c>
      <c r="F139" s="41" t="s">
        <v>361</v>
      </c>
      <c r="G139" s="35" t="s">
        <v>230</v>
      </c>
      <c r="H139" s="24">
        <v>0.1</v>
      </c>
      <c r="I139" s="54"/>
      <c r="J139" s="24"/>
    </row>
    <row r="140" spans="1:10">
      <c r="A140" s="35">
        <f t="shared" si="6"/>
        <v>811</v>
      </c>
      <c r="B140" s="35" t="str">
        <f>INDEX(武器技能设计!$B$2:$B$17,MATCH(D140,武器技能设计!$A$2:$A$17,0))</f>
        <v>符文塔</v>
      </c>
      <c r="C140" s="44" t="s">
        <v>355</v>
      </c>
      <c r="D140" s="35">
        <f t="shared" si="7"/>
        <v>8</v>
      </c>
      <c r="E140" s="35">
        <f t="shared" si="5"/>
        <v>99</v>
      </c>
      <c r="F140" s="44" t="s">
        <v>362</v>
      </c>
      <c r="G140" s="35" t="s">
        <v>324</v>
      </c>
      <c r="H140" s="24">
        <v>0.5</v>
      </c>
      <c r="I140" s="54"/>
      <c r="J140" s="24"/>
    </row>
    <row r="141" spans="1:10">
      <c r="A141" s="35">
        <f t="shared" si="6"/>
        <v>812</v>
      </c>
      <c r="B141" s="35" t="str">
        <f>INDEX(武器技能设计!$B$2:$B$17,MATCH(D141,武器技能设计!$A$2:$A$17,0))</f>
        <v>符文塔</v>
      </c>
      <c r="C141" s="44" t="s">
        <v>322</v>
      </c>
      <c r="D141" s="35">
        <f t="shared" si="7"/>
        <v>8</v>
      </c>
      <c r="E141" s="35">
        <f t="shared" si="5"/>
        <v>99</v>
      </c>
      <c r="F141" s="44" t="s">
        <v>363</v>
      </c>
      <c r="G141" s="35" t="s">
        <v>358</v>
      </c>
      <c r="H141" s="24">
        <v>0.25</v>
      </c>
      <c r="I141" s="54"/>
      <c r="J141" s="24"/>
    </row>
    <row r="142" spans="1:10">
      <c r="A142" s="35">
        <f t="shared" si="6"/>
        <v>813</v>
      </c>
      <c r="B142" s="35" t="str">
        <f>INDEX(武器技能设计!$B$2:$B$17,MATCH(D142,武器技能设计!$A$2:$A$17,0))</f>
        <v>符文塔</v>
      </c>
      <c r="C142" s="44" t="s">
        <v>359</v>
      </c>
      <c r="D142" s="35">
        <f t="shared" si="7"/>
        <v>8</v>
      </c>
      <c r="E142" s="35">
        <f t="shared" si="5"/>
        <v>99</v>
      </c>
      <c r="F142" s="44" t="s">
        <v>364</v>
      </c>
      <c r="G142" s="35" t="s">
        <v>359</v>
      </c>
      <c r="H142" s="24">
        <v>0.5</v>
      </c>
      <c r="I142" s="54"/>
      <c r="J142" s="24"/>
    </row>
    <row r="143" spans="1:10">
      <c r="A143" s="35">
        <f t="shared" si="6"/>
        <v>814</v>
      </c>
      <c r="B143" s="35" t="str">
        <f>INDEX(武器技能设计!$B$2:$B$17,MATCH(D143,武器技能设计!$A$2:$A$17,0))</f>
        <v>符文塔</v>
      </c>
      <c r="C143" s="44" t="s">
        <v>360</v>
      </c>
      <c r="D143" s="35">
        <f t="shared" si="7"/>
        <v>8</v>
      </c>
      <c r="E143" s="35">
        <f t="shared" si="5"/>
        <v>99</v>
      </c>
      <c r="F143" s="44" t="s">
        <v>365</v>
      </c>
      <c r="G143" s="35" t="s">
        <v>230</v>
      </c>
      <c r="H143" s="24">
        <v>0.2</v>
      </c>
      <c r="I143" s="54"/>
      <c r="J143" s="24"/>
    </row>
    <row r="144" spans="1:10">
      <c r="A144" s="35">
        <f t="shared" si="6"/>
        <v>821</v>
      </c>
      <c r="B144" s="35" t="str">
        <f>INDEX(武器技能设计!$B$2:$B$17,MATCH(D144,武器技能设计!$A$2:$A$17,0))</f>
        <v>符文塔</v>
      </c>
      <c r="C144" s="46" t="s">
        <v>355</v>
      </c>
      <c r="D144" s="35">
        <f t="shared" si="7"/>
        <v>8</v>
      </c>
      <c r="E144" s="35">
        <f t="shared" si="5"/>
        <v>99</v>
      </c>
      <c r="F144" s="46" t="s">
        <v>366</v>
      </c>
      <c r="G144" s="35" t="s">
        <v>324</v>
      </c>
      <c r="H144" s="24">
        <v>1</v>
      </c>
      <c r="I144" s="54"/>
      <c r="J144" s="24"/>
    </row>
    <row r="145" spans="1:10">
      <c r="A145" s="35">
        <f t="shared" ref="A145:A182" si="8">A128+100</f>
        <v>822</v>
      </c>
      <c r="B145" s="35" t="str">
        <f>INDEX(武器技能设计!$B$2:$B$17,MATCH(D145,武器技能设计!$A$2:$A$17,0))</f>
        <v>符文塔</v>
      </c>
      <c r="C145" s="46" t="s">
        <v>322</v>
      </c>
      <c r="D145" s="35">
        <f t="shared" si="7"/>
        <v>8</v>
      </c>
      <c r="E145" s="35">
        <f t="shared" si="5"/>
        <v>99</v>
      </c>
      <c r="F145" s="46" t="s">
        <v>367</v>
      </c>
      <c r="G145" s="35" t="s">
        <v>358</v>
      </c>
      <c r="H145" s="24">
        <v>0.5</v>
      </c>
      <c r="I145" s="54"/>
      <c r="J145" s="24"/>
    </row>
    <row r="146" spans="1:10">
      <c r="A146" s="35">
        <f t="shared" si="8"/>
        <v>823</v>
      </c>
      <c r="B146" s="35" t="str">
        <f>INDEX(武器技能设计!$B$2:$B$17,MATCH(D146,武器技能设计!$A$2:$A$17,0))</f>
        <v>符文塔</v>
      </c>
      <c r="C146" s="46" t="s">
        <v>359</v>
      </c>
      <c r="D146" s="35">
        <f t="shared" si="7"/>
        <v>8</v>
      </c>
      <c r="E146" s="35">
        <f t="shared" si="5"/>
        <v>99</v>
      </c>
      <c r="F146" s="46" t="s">
        <v>368</v>
      </c>
      <c r="G146" s="35" t="s">
        <v>359</v>
      </c>
      <c r="H146" s="24">
        <v>1</v>
      </c>
      <c r="I146" s="54"/>
      <c r="J146" s="24"/>
    </row>
    <row r="147" spans="1:10">
      <c r="A147" s="35">
        <f t="shared" si="8"/>
        <v>824</v>
      </c>
      <c r="B147" s="35" t="str">
        <f>INDEX(武器技能设计!$B$2:$B$17,MATCH(D147,武器技能设计!$A$2:$A$17,0))</f>
        <v>符文塔</v>
      </c>
      <c r="C147" s="46" t="s">
        <v>360</v>
      </c>
      <c r="D147" s="35">
        <f t="shared" si="7"/>
        <v>8</v>
      </c>
      <c r="E147" s="35">
        <f t="shared" si="5"/>
        <v>99</v>
      </c>
      <c r="F147" s="46" t="s">
        <v>369</v>
      </c>
      <c r="G147" s="35" t="s">
        <v>230</v>
      </c>
      <c r="H147" s="24">
        <v>0.3</v>
      </c>
      <c r="I147" s="54"/>
      <c r="J147" s="24"/>
    </row>
    <row r="148" spans="1:10">
      <c r="A148" s="35">
        <f t="shared" si="8"/>
        <v>831</v>
      </c>
      <c r="B148" s="35" t="str">
        <f>INDEX(武器技能设计!$B$2:$B$17,MATCH(D148,武器技能设计!$A$2:$A$17,0))</f>
        <v>符文塔</v>
      </c>
      <c r="C148" s="44" t="s">
        <v>76</v>
      </c>
      <c r="D148" s="35">
        <f t="shared" si="7"/>
        <v>8</v>
      </c>
      <c r="E148" s="35">
        <f t="shared" si="5"/>
        <v>1</v>
      </c>
      <c r="F148" s="44" t="s">
        <v>397</v>
      </c>
      <c r="G148" s="35" t="s">
        <v>335</v>
      </c>
      <c r="H148" s="24">
        <v>0.5</v>
      </c>
      <c r="I148" s="54"/>
      <c r="J148" s="24"/>
    </row>
    <row r="149" spans="1:10">
      <c r="A149" s="35">
        <f t="shared" si="8"/>
        <v>832</v>
      </c>
      <c r="B149" s="35" t="str">
        <f>INDEX(武器技能设计!$B$2:$B$17,MATCH(D149,武器技能设计!$A$2:$A$17,0))</f>
        <v>符文塔</v>
      </c>
      <c r="C149" s="44" t="s">
        <v>45</v>
      </c>
      <c r="D149" s="35">
        <f t="shared" si="7"/>
        <v>8</v>
      </c>
      <c r="E149" s="35">
        <f t="shared" si="5"/>
        <v>1</v>
      </c>
      <c r="F149" s="44" t="s">
        <v>376</v>
      </c>
      <c r="G149" s="35" t="s">
        <v>337</v>
      </c>
      <c r="H149" s="24">
        <v>1</v>
      </c>
      <c r="I149" s="54"/>
      <c r="J149" s="24"/>
    </row>
    <row r="150" spans="1:10">
      <c r="A150" s="35">
        <f t="shared" si="8"/>
        <v>841</v>
      </c>
      <c r="B150" s="35" t="str">
        <f>INDEX(武器技能设计!$B$2:$B$17,MATCH(D150,武器技能设计!$A$2:$A$17,0))</f>
        <v>符文塔</v>
      </c>
      <c r="C150" s="46" t="s">
        <v>398</v>
      </c>
      <c r="D150" s="35">
        <f t="shared" si="7"/>
        <v>8</v>
      </c>
      <c r="E150" s="35">
        <f t="shared" si="5"/>
        <v>1</v>
      </c>
      <c r="F150" s="46" t="s">
        <v>399</v>
      </c>
      <c r="G150" s="35" t="s">
        <v>358</v>
      </c>
      <c r="H150" s="24">
        <v>0.5</v>
      </c>
      <c r="I150" s="54" t="s">
        <v>324</v>
      </c>
      <c r="J150" s="24">
        <v>1</v>
      </c>
    </row>
    <row r="151" spans="1:10">
      <c r="A151" s="35">
        <f t="shared" si="8"/>
        <v>842</v>
      </c>
      <c r="B151" s="35" t="str">
        <f>INDEX(武器技能设计!$B$2:$B$17,MATCH(D151,武器技能设计!$A$2:$A$17,0))</f>
        <v>符文塔</v>
      </c>
      <c r="C151" s="46" t="s">
        <v>78</v>
      </c>
      <c r="D151" s="35">
        <f t="shared" si="7"/>
        <v>8</v>
      </c>
      <c r="E151" s="35">
        <f t="shared" si="5"/>
        <v>1</v>
      </c>
      <c r="F151" s="46" t="s">
        <v>400</v>
      </c>
      <c r="G151" s="35" t="s">
        <v>324</v>
      </c>
      <c r="H151" s="24">
        <v>2</v>
      </c>
      <c r="I151" s="54"/>
      <c r="J151" s="24"/>
    </row>
    <row r="152" ht="27.6" spans="1:10">
      <c r="A152" s="35">
        <f t="shared" si="8"/>
        <v>851</v>
      </c>
      <c r="B152" s="35" t="str">
        <f>INDEX(武器技能设计!$B$2:$B$17,MATCH(D152,武器技能设计!$A$2:$A$17,0))</f>
        <v>符文塔</v>
      </c>
      <c r="C152" s="47" t="s">
        <v>79</v>
      </c>
      <c r="D152" s="35">
        <f t="shared" si="7"/>
        <v>8</v>
      </c>
      <c r="E152" s="35">
        <f t="shared" si="5"/>
        <v>1</v>
      </c>
      <c r="F152" s="47" t="s">
        <v>401</v>
      </c>
      <c r="G152" s="35" t="s">
        <v>343</v>
      </c>
      <c r="H152" s="24">
        <v>5</v>
      </c>
      <c r="I152" s="54"/>
      <c r="J152" s="24"/>
    </row>
    <row r="153" s="36" customFormat="1" ht="14.55" spans="1:37">
      <c r="A153" s="72">
        <f t="shared" si="8"/>
        <v>852</v>
      </c>
      <c r="B153" s="72" t="str">
        <f>INDEX(武器技能设计!$B$2:$B$17,MATCH(D153,武器技能设计!$A$2:$A$17,0))</f>
        <v>符文塔</v>
      </c>
      <c r="C153" s="48" t="s">
        <v>80</v>
      </c>
      <c r="D153" s="72">
        <f t="shared" si="7"/>
        <v>8</v>
      </c>
      <c r="E153" s="72">
        <f t="shared" si="5"/>
        <v>1</v>
      </c>
      <c r="F153" s="48" t="s">
        <v>402</v>
      </c>
      <c r="G153" s="72" t="s">
        <v>358</v>
      </c>
      <c r="H153" s="79">
        <v>0.5</v>
      </c>
      <c r="I153" s="86" t="s">
        <v>359</v>
      </c>
      <c r="J153" s="89">
        <v>4</v>
      </c>
      <c r="O153" s="87"/>
      <c r="R153" s="81"/>
      <c r="X153" s="87"/>
      <c r="Y153" s="81"/>
      <c r="Z153" s="87"/>
      <c r="AA153" s="81"/>
      <c r="AF153" s="87"/>
      <c r="AG153" s="87"/>
      <c r="AH153" s="87"/>
      <c r="AI153" s="87"/>
      <c r="AJ153" s="87"/>
      <c r="AK153" s="81"/>
    </row>
    <row r="154" spans="1:10">
      <c r="A154" s="78">
        <f t="shared" si="8"/>
        <v>901</v>
      </c>
      <c r="B154" s="78" t="str">
        <f>INDEX(武器技能设计!$B$2:$B$17,MATCH(D154,武器技能设计!$A$2:$A$17,0))</f>
        <v>突击步枪</v>
      </c>
      <c r="C154" s="76" t="s">
        <v>355</v>
      </c>
      <c r="D154" s="78">
        <f t="shared" si="7"/>
        <v>9</v>
      </c>
      <c r="E154" s="78">
        <f t="shared" si="5"/>
        <v>99</v>
      </c>
      <c r="F154" s="41" t="s">
        <v>356</v>
      </c>
      <c r="G154" s="78" t="s">
        <v>324</v>
      </c>
      <c r="H154" s="80">
        <v>0.25</v>
      </c>
      <c r="I154" s="88"/>
      <c r="J154" s="80"/>
    </row>
    <row r="155" spans="1:10">
      <c r="A155" s="35">
        <f t="shared" si="8"/>
        <v>902</v>
      </c>
      <c r="B155" s="35" t="str">
        <f>INDEX(武器技能设计!$B$2:$B$17,MATCH(D155,武器技能设计!$A$2:$A$17,0))</f>
        <v>突击步枪</v>
      </c>
      <c r="C155" s="41" t="s">
        <v>322</v>
      </c>
      <c r="D155" s="35">
        <f t="shared" si="7"/>
        <v>9</v>
      </c>
      <c r="E155" s="35">
        <f t="shared" si="5"/>
        <v>99</v>
      </c>
      <c r="F155" s="41" t="s">
        <v>357</v>
      </c>
      <c r="G155" s="35" t="s">
        <v>358</v>
      </c>
      <c r="H155" s="24">
        <v>0.15</v>
      </c>
      <c r="I155" s="54"/>
      <c r="J155" s="24"/>
    </row>
    <row r="156" spans="1:10">
      <c r="A156" s="35">
        <f t="shared" si="8"/>
        <v>903</v>
      </c>
      <c r="B156" s="35" t="str">
        <f>INDEX(武器技能设计!$B$2:$B$17,MATCH(D156,武器技能设计!$A$2:$A$17,0))</f>
        <v>突击步枪</v>
      </c>
      <c r="C156" s="41" t="s">
        <v>360</v>
      </c>
      <c r="D156" s="35">
        <f t="shared" si="7"/>
        <v>9</v>
      </c>
      <c r="E156" s="35">
        <f t="shared" si="5"/>
        <v>99</v>
      </c>
      <c r="F156" s="41" t="s">
        <v>361</v>
      </c>
      <c r="G156" s="35" t="s">
        <v>230</v>
      </c>
      <c r="H156" s="24">
        <v>0.1</v>
      </c>
      <c r="I156" s="54"/>
      <c r="J156" s="24"/>
    </row>
    <row r="157" spans="1:10">
      <c r="A157" s="35">
        <f t="shared" si="8"/>
        <v>911</v>
      </c>
      <c r="B157" s="35" t="str">
        <f>INDEX(武器技能设计!$B$2:$B$17,MATCH(D157,武器技能设计!$A$2:$A$17,0))</f>
        <v>突击步枪</v>
      </c>
      <c r="C157" s="44" t="s">
        <v>355</v>
      </c>
      <c r="D157" s="35">
        <f t="shared" si="7"/>
        <v>9</v>
      </c>
      <c r="E157" s="35">
        <f t="shared" si="5"/>
        <v>99</v>
      </c>
      <c r="F157" s="44" t="s">
        <v>362</v>
      </c>
      <c r="G157" s="35" t="s">
        <v>324</v>
      </c>
      <c r="H157" s="24">
        <v>0.5</v>
      </c>
      <c r="I157" s="54"/>
      <c r="J157" s="24"/>
    </row>
    <row r="158" spans="1:10">
      <c r="A158" s="35">
        <f t="shared" si="8"/>
        <v>912</v>
      </c>
      <c r="B158" s="35" t="str">
        <f>INDEX(武器技能设计!$B$2:$B$17,MATCH(D158,武器技能设计!$A$2:$A$17,0))</f>
        <v>突击步枪</v>
      </c>
      <c r="C158" s="44" t="s">
        <v>322</v>
      </c>
      <c r="D158" s="35">
        <f t="shared" si="7"/>
        <v>9</v>
      </c>
      <c r="E158" s="35">
        <f t="shared" si="5"/>
        <v>99</v>
      </c>
      <c r="F158" s="44" t="s">
        <v>363</v>
      </c>
      <c r="G158" s="35" t="s">
        <v>358</v>
      </c>
      <c r="H158" s="24">
        <v>0.25</v>
      </c>
      <c r="I158" s="54"/>
      <c r="J158" s="24"/>
    </row>
    <row r="159" spans="1:10">
      <c r="A159" s="35">
        <f t="shared" si="8"/>
        <v>913</v>
      </c>
      <c r="B159" s="35" t="str">
        <f>INDEX(武器技能设计!$B$2:$B$17,MATCH(D159,武器技能设计!$A$2:$A$17,0))</f>
        <v>突击步枪</v>
      </c>
      <c r="C159" s="44" t="s">
        <v>359</v>
      </c>
      <c r="D159" s="35">
        <f t="shared" si="7"/>
        <v>9</v>
      </c>
      <c r="E159" s="35">
        <f t="shared" si="5"/>
        <v>99</v>
      </c>
      <c r="F159" s="44" t="s">
        <v>364</v>
      </c>
      <c r="G159" s="35" t="s">
        <v>359</v>
      </c>
      <c r="H159" s="24">
        <v>0.5</v>
      </c>
      <c r="I159" s="54"/>
      <c r="J159" s="24"/>
    </row>
    <row r="160" spans="1:10">
      <c r="A160" s="35">
        <f t="shared" si="8"/>
        <v>914</v>
      </c>
      <c r="B160" s="35" t="str">
        <f>INDEX(武器技能设计!$B$2:$B$17,MATCH(D160,武器技能设计!$A$2:$A$17,0))</f>
        <v>突击步枪</v>
      </c>
      <c r="C160" s="44" t="s">
        <v>360</v>
      </c>
      <c r="D160" s="35">
        <f t="shared" si="7"/>
        <v>9</v>
      </c>
      <c r="E160" s="35">
        <f t="shared" si="5"/>
        <v>99</v>
      </c>
      <c r="F160" s="44" t="s">
        <v>365</v>
      </c>
      <c r="G160" s="35" t="s">
        <v>230</v>
      </c>
      <c r="H160" s="24">
        <v>0.2</v>
      </c>
      <c r="I160" s="54"/>
      <c r="J160" s="24"/>
    </row>
    <row r="161" spans="1:10">
      <c r="A161" s="35">
        <f t="shared" si="8"/>
        <v>921</v>
      </c>
      <c r="B161" s="35" t="str">
        <f>INDEX(武器技能设计!$B$2:$B$17,MATCH(D161,武器技能设计!$A$2:$A$17,0))</f>
        <v>突击步枪</v>
      </c>
      <c r="C161" s="46" t="s">
        <v>355</v>
      </c>
      <c r="D161" s="35">
        <f t="shared" si="7"/>
        <v>9</v>
      </c>
      <c r="E161" s="35">
        <f t="shared" si="5"/>
        <v>99</v>
      </c>
      <c r="F161" s="46" t="s">
        <v>366</v>
      </c>
      <c r="G161" s="35" t="s">
        <v>324</v>
      </c>
      <c r="H161" s="24">
        <v>1</v>
      </c>
      <c r="I161" s="54"/>
      <c r="J161" s="24"/>
    </row>
    <row r="162" spans="1:10">
      <c r="A162" s="35">
        <f t="shared" si="8"/>
        <v>922</v>
      </c>
      <c r="B162" s="35" t="str">
        <f>INDEX(武器技能设计!$B$2:$B$17,MATCH(D162,武器技能设计!$A$2:$A$17,0))</f>
        <v>突击步枪</v>
      </c>
      <c r="C162" s="46" t="s">
        <v>322</v>
      </c>
      <c r="D162" s="35">
        <f t="shared" si="7"/>
        <v>9</v>
      </c>
      <c r="E162" s="35">
        <f t="shared" si="5"/>
        <v>99</v>
      </c>
      <c r="F162" s="46" t="s">
        <v>367</v>
      </c>
      <c r="G162" s="35" t="s">
        <v>358</v>
      </c>
      <c r="H162" s="24">
        <v>0.5</v>
      </c>
      <c r="I162" s="54"/>
      <c r="J162" s="24"/>
    </row>
    <row r="163" spans="1:10">
      <c r="A163" s="35">
        <f t="shared" si="8"/>
        <v>923</v>
      </c>
      <c r="B163" s="35" t="str">
        <f>INDEX(武器技能设计!$B$2:$B$17,MATCH(D163,武器技能设计!$A$2:$A$17,0))</f>
        <v>突击步枪</v>
      </c>
      <c r="C163" s="46" t="s">
        <v>359</v>
      </c>
      <c r="D163" s="35">
        <f t="shared" si="7"/>
        <v>9</v>
      </c>
      <c r="E163" s="35">
        <f t="shared" si="5"/>
        <v>99</v>
      </c>
      <c r="F163" s="46" t="s">
        <v>368</v>
      </c>
      <c r="G163" s="35" t="s">
        <v>359</v>
      </c>
      <c r="H163" s="24">
        <v>1</v>
      </c>
      <c r="I163" s="54"/>
      <c r="J163" s="24"/>
    </row>
    <row r="164" spans="1:10">
      <c r="A164" s="35">
        <f t="shared" si="8"/>
        <v>924</v>
      </c>
      <c r="B164" s="35" t="str">
        <f>INDEX(武器技能设计!$B$2:$B$17,MATCH(D164,武器技能设计!$A$2:$A$17,0))</f>
        <v>突击步枪</v>
      </c>
      <c r="C164" s="46" t="s">
        <v>360</v>
      </c>
      <c r="D164" s="35">
        <f t="shared" si="7"/>
        <v>9</v>
      </c>
      <c r="E164" s="35">
        <f t="shared" ref="E164:E227" si="9">E147</f>
        <v>99</v>
      </c>
      <c r="F164" s="46" t="s">
        <v>369</v>
      </c>
      <c r="G164" s="35" t="s">
        <v>230</v>
      </c>
      <c r="H164" s="24">
        <v>0.3</v>
      </c>
      <c r="I164" s="54"/>
      <c r="J164" s="24"/>
    </row>
    <row r="165" spans="1:10">
      <c r="A165" s="35">
        <f t="shared" si="8"/>
        <v>931</v>
      </c>
      <c r="B165" s="35" t="str">
        <f>INDEX(武器技能设计!$B$2:$B$17,MATCH(D165,武器技能设计!$A$2:$A$17,0))</f>
        <v>突击步枪</v>
      </c>
      <c r="C165" s="44" t="s">
        <v>24</v>
      </c>
      <c r="D165" s="35">
        <f t="shared" si="7"/>
        <v>9</v>
      </c>
      <c r="E165" s="35">
        <f t="shared" si="9"/>
        <v>1</v>
      </c>
      <c r="F165" s="44" t="s">
        <v>24</v>
      </c>
      <c r="G165" s="35" t="s">
        <v>331</v>
      </c>
      <c r="H165" s="24">
        <v>1</v>
      </c>
      <c r="I165" s="54"/>
      <c r="J165" s="24"/>
    </row>
    <row r="166" spans="1:10">
      <c r="A166" s="35">
        <f t="shared" si="8"/>
        <v>932</v>
      </c>
      <c r="B166" s="35" t="str">
        <f>INDEX(武器技能设计!$B$2:$B$17,MATCH(D166,武器技能设计!$A$2:$A$17,0))</f>
        <v>突击步枪</v>
      </c>
      <c r="C166" s="44" t="s">
        <v>83</v>
      </c>
      <c r="D166" s="35">
        <f t="shared" si="7"/>
        <v>9</v>
      </c>
      <c r="E166" s="35">
        <f t="shared" si="9"/>
        <v>1</v>
      </c>
      <c r="F166" s="44" t="s">
        <v>381</v>
      </c>
      <c r="G166" s="35" t="s">
        <v>339</v>
      </c>
      <c r="H166" s="24">
        <v>1</v>
      </c>
      <c r="I166" s="54"/>
      <c r="J166" s="24"/>
    </row>
    <row r="167" spans="1:10">
      <c r="A167" s="35">
        <f t="shared" si="8"/>
        <v>941</v>
      </c>
      <c r="B167" s="35" t="str">
        <f>INDEX(武器技能设计!$B$2:$B$17,MATCH(D167,武器技能设计!$A$2:$A$17,0))</f>
        <v>突击步枪</v>
      </c>
      <c r="C167" s="46" t="s">
        <v>84</v>
      </c>
      <c r="D167" s="35">
        <f t="shared" si="7"/>
        <v>9</v>
      </c>
      <c r="E167" s="35">
        <f t="shared" si="9"/>
        <v>1</v>
      </c>
      <c r="F167" s="46" t="s">
        <v>382</v>
      </c>
      <c r="G167" s="35" t="s">
        <v>358</v>
      </c>
      <c r="H167" s="24">
        <v>0.5</v>
      </c>
      <c r="I167" s="54" t="s">
        <v>359</v>
      </c>
      <c r="J167" s="24">
        <v>1</v>
      </c>
    </row>
    <row r="168" spans="1:10">
      <c r="A168" s="35">
        <f t="shared" si="8"/>
        <v>942</v>
      </c>
      <c r="B168" s="35" t="str">
        <f>INDEX(武器技能设计!$B$2:$B$17,MATCH(D168,武器技能设计!$A$2:$A$17,0))</f>
        <v>突击步枪</v>
      </c>
      <c r="C168" s="46" t="s">
        <v>85</v>
      </c>
      <c r="D168" s="35">
        <f t="shared" si="7"/>
        <v>9</v>
      </c>
      <c r="E168" s="35">
        <f t="shared" si="9"/>
        <v>1</v>
      </c>
      <c r="F168" s="46" t="s">
        <v>85</v>
      </c>
      <c r="G168" s="35" t="s">
        <v>299</v>
      </c>
      <c r="H168" s="24">
        <v>1</v>
      </c>
      <c r="I168" s="54"/>
      <c r="J168" s="24"/>
    </row>
    <row r="169" spans="1:10">
      <c r="A169" s="35">
        <f t="shared" si="8"/>
        <v>951</v>
      </c>
      <c r="B169" s="35" t="str">
        <f>INDEX(武器技能设计!$B$2:$B$17,MATCH(D169,武器技能设计!$A$2:$A$17,0))</f>
        <v>突击步枪</v>
      </c>
      <c r="C169" s="47" t="s">
        <v>86</v>
      </c>
      <c r="D169" s="35">
        <f t="shared" si="7"/>
        <v>9</v>
      </c>
      <c r="E169" s="35">
        <f t="shared" si="9"/>
        <v>1</v>
      </c>
      <c r="F169" s="47" t="s">
        <v>403</v>
      </c>
      <c r="G169" s="35" t="s">
        <v>343</v>
      </c>
      <c r="H169" s="24">
        <v>5</v>
      </c>
      <c r="I169" s="54"/>
      <c r="J169" s="24"/>
    </row>
    <row r="170" s="36" customFormat="1" ht="14.55" spans="1:37">
      <c r="A170" s="72">
        <f t="shared" si="8"/>
        <v>952</v>
      </c>
      <c r="B170" s="72" t="str">
        <f>INDEX(武器技能设计!$B$2:$B$17,MATCH(D170,武器技能设计!$A$2:$A$17,0))</f>
        <v>突击步枪</v>
      </c>
      <c r="C170" s="48" t="s">
        <v>29</v>
      </c>
      <c r="D170" s="72">
        <f t="shared" si="7"/>
        <v>9</v>
      </c>
      <c r="E170" s="72">
        <f t="shared" si="9"/>
        <v>1</v>
      </c>
      <c r="F170" s="48" t="s">
        <v>29</v>
      </c>
      <c r="G170" s="72" t="s">
        <v>331</v>
      </c>
      <c r="H170" s="79">
        <v>2</v>
      </c>
      <c r="I170" s="86" t="s">
        <v>324</v>
      </c>
      <c r="J170" s="79">
        <v>2</v>
      </c>
      <c r="O170" s="87"/>
      <c r="R170" s="81"/>
      <c r="X170" s="87"/>
      <c r="Y170" s="81"/>
      <c r="Z170" s="87"/>
      <c r="AA170" s="81"/>
      <c r="AF170" s="87"/>
      <c r="AG170" s="87"/>
      <c r="AH170" s="87"/>
      <c r="AI170" s="87"/>
      <c r="AJ170" s="87"/>
      <c r="AK170" s="81"/>
    </row>
    <row r="171" spans="1:10">
      <c r="A171" s="78">
        <f t="shared" si="8"/>
        <v>1001</v>
      </c>
      <c r="B171" s="78" t="str">
        <f>INDEX(武器技能设计!$B$2:$B$17,MATCH(D171,武器技能设计!$A$2:$A$17,0))</f>
        <v>大炮</v>
      </c>
      <c r="C171" s="76" t="s">
        <v>355</v>
      </c>
      <c r="D171" s="78">
        <f t="shared" si="7"/>
        <v>10</v>
      </c>
      <c r="E171" s="78">
        <f t="shared" si="9"/>
        <v>99</v>
      </c>
      <c r="F171" s="41" t="s">
        <v>356</v>
      </c>
      <c r="G171" s="78" t="s">
        <v>324</v>
      </c>
      <c r="H171" s="80">
        <v>0.25</v>
      </c>
      <c r="I171" s="88"/>
      <c r="J171" s="80"/>
    </row>
    <row r="172" spans="1:10">
      <c r="A172" s="35">
        <f t="shared" si="8"/>
        <v>1002</v>
      </c>
      <c r="B172" s="35" t="str">
        <f>INDEX(武器技能设计!$B$2:$B$17,MATCH(D172,武器技能设计!$A$2:$A$17,0))</f>
        <v>大炮</v>
      </c>
      <c r="C172" s="41" t="s">
        <v>322</v>
      </c>
      <c r="D172" s="35">
        <f t="shared" si="7"/>
        <v>10</v>
      </c>
      <c r="E172" s="35">
        <f t="shared" si="9"/>
        <v>99</v>
      </c>
      <c r="F172" s="41" t="s">
        <v>357</v>
      </c>
      <c r="G172" s="35" t="s">
        <v>358</v>
      </c>
      <c r="H172" s="24">
        <v>0.15</v>
      </c>
      <c r="I172" s="54"/>
      <c r="J172" s="24"/>
    </row>
    <row r="173" spans="1:10">
      <c r="A173" s="35">
        <f t="shared" si="8"/>
        <v>1003</v>
      </c>
      <c r="B173" s="35" t="str">
        <f>INDEX(武器技能设计!$B$2:$B$17,MATCH(D173,武器技能设计!$A$2:$A$17,0))</f>
        <v>大炮</v>
      </c>
      <c r="C173" s="41" t="s">
        <v>360</v>
      </c>
      <c r="D173" s="35">
        <f t="shared" si="7"/>
        <v>10</v>
      </c>
      <c r="E173" s="35">
        <f t="shared" si="9"/>
        <v>99</v>
      </c>
      <c r="F173" s="41" t="s">
        <v>361</v>
      </c>
      <c r="G173" s="35" t="s">
        <v>230</v>
      </c>
      <c r="H173" s="24">
        <v>0.1</v>
      </c>
      <c r="I173" s="54"/>
      <c r="J173" s="24"/>
    </row>
    <row r="174" spans="1:10">
      <c r="A174" s="35">
        <f t="shared" si="8"/>
        <v>1011</v>
      </c>
      <c r="B174" s="35" t="str">
        <f>INDEX(武器技能设计!$B$2:$B$17,MATCH(D174,武器技能设计!$A$2:$A$17,0))</f>
        <v>大炮</v>
      </c>
      <c r="C174" s="44" t="s">
        <v>355</v>
      </c>
      <c r="D174" s="35">
        <f t="shared" si="7"/>
        <v>10</v>
      </c>
      <c r="E174" s="35">
        <f t="shared" si="9"/>
        <v>99</v>
      </c>
      <c r="F174" s="44" t="s">
        <v>362</v>
      </c>
      <c r="G174" s="35" t="s">
        <v>324</v>
      </c>
      <c r="H174" s="24">
        <v>0.5</v>
      </c>
      <c r="I174" s="54"/>
      <c r="J174" s="24"/>
    </row>
    <row r="175" spans="1:10">
      <c r="A175" s="35">
        <f t="shared" si="8"/>
        <v>1012</v>
      </c>
      <c r="B175" s="35" t="str">
        <f>INDEX(武器技能设计!$B$2:$B$17,MATCH(D175,武器技能设计!$A$2:$A$17,0))</f>
        <v>大炮</v>
      </c>
      <c r="C175" s="44" t="s">
        <v>322</v>
      </c>
      <c r="D175" s="35">
        <f t="shared" si="7"/>
        <v>10</v>
      </c>
      <c r="E175" s="35">
        <f t="shared" si="9"/>
        <v>99</v>
      </c>
      <c r="F175" s="44" t="s">
        <v>363</v>
      </c>
      <c r="G175" s="35" t="s">
        <v>358</v>
      </c>
      <c r="H175" s="24">
        <v>0.25</v>
      </c>
      <c r="I175" s="54"/>
      <c r="J175" s="24"/>
    </row>
    <row r="176" spans="1:10">
      <c r="A176" s="35">
        <f t="shared" si="8"/>
        <v>1013</v>
      </c>
      <c r="B176" s="35" t="str">
        <f>INDEX(武器技能设计!$B$2:$B$17,MATCH(D176,武器技能设计!$A$2:$A$17,0))</f>
        <v>大炮</v>
      </c>
      <c r="C176" s="44" t="s">
        <v>359</v>
      </c>
      <c r="D176" s="35">
        <f t="shared" si="7"/>
        <v>10</v>
      </c>
      <c r="E176" s="35">
        <f t="shared" si="9"/>
        <v>99</v>
      </c>
      <c r="F176" s="44" t="s">
        <v>364</v>
      </c>
      <c r="G176" s="35" t="s">
        <v>359</v>
      </c>
      <c r="H176" s="24">
        <v>0.5</v>
      </c>
      <c r="I176" s="54"/>
      <c r="J176" s="24"/>
    </row>
    <row r="177" spans="1:10">
      <c r="A177" s="35">
        <f t="shared" si="8"/>
        <v>1014</v>
      </c>
      <c r="B177" s="35" t="str">
        <f>INDEX(武器技能设计!$B$2:$B$17,MATCH(D177,武器技能设计!$A$2:$A$17,0))</f>
        <v>大炮</v>
      </c>
      <c r="C177" s="44" t="s">
        <v>360</v>
      </c>
      <c r="D177" s="35">
        <f t="shared" si="7"/>
        <v>10</v>
      </c>
      <c r="E177" s="35">
        <f t="shared" si="9"/>
        <v>99</v>
      </c>
      <c r="F177" s="44" t="s">
        <v>365</v>
      </c>
      <c r="G177" s="35" t="s">
        <v>230</v>
      </c>
      <c r="H177" s="24">
        <v>0.2</v>
      </c>
      <c r="I177" s="54"/>
      <c r="J177" s="24"/>
    </row>
    <row r="178" spans="1:10">
      <c r="A178" s="35">
        <f t="shared" si="8"/>
        <v>1021</v>
      </c>
      <c r="B178" s="35" t="str">
        <f>INDEX(武器技能设计!$B$2:$B$17,MATCH(D178,武器技能设计!$A$2:$A$17,0))</f>
        <v>大炮</v>
      </c>
      <c r="C178" s="46" t="s">
        <v>355</v>
      </c>
      <c r="D178" s="35">
        <f t="shared" si="7"/>
        <v>10</v>
      </c>
      <c r="E178" s="35">
        <f t="shared" si="9"/>
        <v>99</v>
      </c>
      <c r="F178" s="46" t="s">
        <v>366</v>
      </c>
      <c r="G178" s="35" t="s">
        <v>324</v>
      </c>
      <c r="H178" s="24">
        <v>1</v>
      </c>
      <c r="I178" s="54"/>
      <c r="J178" s="24"/>
    </row>
    <row r="179" spans="1:10">
      <c r="A179" s="35">
        <f t="shared" si="8"/>
        <v>1022</v>
      </c>
      <c r="B179" s="35" t="str">
        <f>INDEX(武器技能设计!$B$2:$B$17,MATCH(D179,武器技能设计!$A$2:$A$17,0))</f>
        <v>大炮</v>
      </c>
      <c r="C179" s="46" t="s">
        <v>322</v>
      </c>
      <c r="D179" s="35">
        <f t="shared" si="7"/>
        <v>10</v>
      </c>
      <c r="E179" s="35">
        <f t="shared" si="9"/>
        <v>99</v>
      </c>
      <c r="F179" s="46" t="s">
        <v>367</v>
      </c>
      <c r="G179" s="35" t="s">
        <v>358</v>
      </c>
      <c r="H179" s="24">
        <v>0.5</v>
      </c>
      <c r="I179" s="54"/>
      <c r="J179" s="24"/>
    </row>
    <row r="180" spans="1:10">
      <c r="A180" s="35">
        <f t="shared" si="8"/>
        <v>1023</v>
      </c>
      <c r="B180" s="35" t="str">
        <f>INDEX(武器技能设计!$B$2:$B$17,MATCH(D180,武器技能设计!$A$2:$A$17,0))</f>
        <v>大炮</v>
      </c>
      <c r="C180" s="46" t="s">
        <v>359</v>
      </c>
      <c r="D180" s="35">
        <f t="shared" si="7"/>
        <v>10</v>
      </c>
      <c r="E180" s="35">
        <f t="shared" si="9"/>
        <v>99</v>
      </c>
      <c r="F180" s="46" t="s">
        <v>368</v>
      </c>
      <c r="G180" s="35" t="s">
        <v>359</v>
      </c>
      <c r="H180" s="24">
        <v>1</v>
      </c>
      <c r="I180" s="54"/>
      <c r="J180" s="24"/>
    </row>
    <row r="181" spans="1:10">
      <c r="A181" s="35">
        <f t="shared" si="8"/>
        <v>1024</v>
      </c>
      <c r="B181" s="35" t="str">
        <f>INDEX(武器技能设计!$B$2:$B$17,MATCH(D181,武器技能设计!$A$2:$A$17,0))</f>
        <v>大炮</v>
      </c>
      <c r="C181" s="46" t="s">
        <v>360</v>
      </c>
      <c r="D181" s="35">
        <f t="shared" ref="D181:D244" si="10">D164+1</f>
        <v>10</v>
      </c>
      <c r="E181" s="35">
        <f t="shared" si="9"/>
        <v>99</v>
      </c>
      <c r="F181" s="46" t="s">
        <v>369</v>
      </c>
      <c r="G181" s="35" t="s">
        <v>230</v>
      </c>
      <c r="H181" s="24">
        <v>0.3</v>
      </c>
      <c r="I181" s="54"/>
      <c r="J181" s="24"/>
    </row>
    <row r="182" ht="27.6" spans="1:10">
      <c r="A182" s="35">
        <f t="shared" si="8"/>
        <v>1031</v>
      </c>
      <c r="B182" s="35" t="str">
        <f>INDEX(武器技能设计!$B$2:$B$17,MATCH(D182,武器技能设计!$A$2:$A$17,0))</f>
        <v>大炮</v>
      </c>
      <c r="C182" s="44" t="s">
        <v>88</v>
      </c>
      <c r="D182" s="35">
        <f t="shared" si="10"/>
        <v>10</v>
      </c>
      <c r="E182" s="35">
        <f t="shared" si="9"/>
        <v>1</v>
      </c>
      <c r="F182" s="44" t="s">
        <v>404</v>
      </c>
      <c r="G182" s="35" t="s">
        <v>337</v>
      </c>
      <c r="H182" s="35">
        <v>0.25</v>
      </c>
      <c r="I182" s="54"/>
      <c r="J182" s="24"/>
    </row>
    <row r="183" spans="1:10">
      <c r="A183" s="35">
        <f t="shared" ref="A183:A201" si="11">A166+100</f>
        <v>1032</v>
      </c>
      <c r="B183" s="35" t="str">
        <f>INDEX(武器技能设计!$B$2:$B$17,MATCH(D183,武器技能设计!$A$2:$A$17,0))</f>
        <v>大炮</v>
      </c>
      <c r="C183" s="44" t="s">
        <v>89</v>
      </c>
      <c r="D183" s="35">
        <f t="shared" si="10"/>
        <v>10</v>
      </c>
      <c r="E183" s="35">
        <f t="shared" si="9"/>
        <v>1</v>
      </c>
      <c r="F183" s="44" t="s">
        <v>405</v>
      </c>
      <c r="G183" s="35" t="s">
        <v>230</v>
      </c>
      <c r="H183" s="24">
        <v>0.2</v>
      </c>
      <c r="I183" s="54" t="s">
        <v>324</v>
      </c>
      <c r="J183" s="24">
        <v>0.5</v>
      </c>
    </row>
    <row r="184" spans="1:10">
      <c r="A184" s="35">
        <f t="shared" si="11"/>
        <v>1041</v>
      </c>
      <c r="B184" s="35" t="str">
        <f>INDEX(武器技能设计!$B$2:$B$17,MATCH(D184,武器技能设计!$A$2:$A$17,0))</f>
        <v>大炮</v>
      </c>
      <c r="C184" s="46" t="s">
        <v>77</v>
      </c>
      <c r="D184" s="35">
        <f t="shared" si="10"/>
        <v>10</v>
      </c>
      <c r="E184" s="35">
        <f t="shared" si="9"/>
        <v>1</v>
      </c>
      <c r="F184" s="46" t="s">
        <v>406</v>
      </c>
      <c r="G184" s="35" t="s">
        <v>358</v>
      </c>
      <c r="H184" s="24">
        <v>0.5</v>
      </c>
      <c r="I184" s="54" t="s">
        <v>324</v>
      </c>
      <c r="J184" s="24">
        <v>0.5</v>
      </c>
    </row>
    <row r="185" spans="1:10">
      <c r="A185" s="35">
        <f t="shared" si="11"/>
        <v>1042</v>
      </c>
      <c r="B185" s="35" t="str">
        <f>INDEX(武器技能设计!$B$2:$B$17,MATCH(D185,武器技能设计!$A$2:$A$17,0))</f>
        <v>大炮</v>
      </c>
      <c r="C185" s="46" t="s">
        <v>90</v>
      </c>
      <c r="D185" s="35">
        <f t="shared" si="10"/>
        <v>10</v>
      </c>
      <c r="E185" s="35">
        <f t="shared" si="9"/>
        <v>1</v>
      </c>
      <c r="F185" s="46" t="s">
        <v>407</v>
      </c>
      <c r="G185" s="35" t="s">
        <v>324</v>
      </c>
      <c r="H185" s="24">
        <v>1</v>
      </c>
      <c r="I185" s="54" t="s">
        <v>324</v>
      </c>
      <c r="J185" s="24">
        <v>3</v>
      </c>
    </row>
    <row r="186" spans="1:10">
      <c r="A186" s="35">
        <f t="shared" si="11"/>
        <v>1051</v>
      </c>
      <c r="B186" s="35" t="str">
        <f>INDEX(武器技能设计!$B$2:$B$17,MATCH(D186,武器技能设计!$A$2:$A$17,0))</f>
        <v>大炮</v>
      </c>
      <c r="C186" s="47" t="s">
        <v>91</v>
      </c>
      <c r="D186" s="35">
        <f t="shared" si="10"/>
        <v>10</v>
      </c>
      <c r="E186" s="35">
        <f t="shared" si="9"/>
        <v>1</v>
      </c>
      <c r="F186" s="47" t="s">
        <v>91</v>
      </c>
      <c r="G186" s="35" t="s">
        <v>136</v>
      </c>
      <c r="H186" s="24">
        <v>1</v>
      </c>
      <c r="I186" s="54" t="s">
        <v>324</v>
      </c>
      <c r="J186" s="24">
        <v>4</v>
      </c>
    </row>
    <row r="187" s="36" customFormat="1" ht="14.55" spans="1:37">
      <c r="A187" s="72">
        <f t="shared" si="11"/>
        <v>1052</v>
      </c>
      <c r="B187" s="72" t="str">
        <f>INDEX(武器技能设计!$B$2:$B$17,MATCH(D187,武器技能设计!$A$2:$A$17,0))</f>
        <v>大炮</v>
      </c>
      <c r="C187" s="48" t="s">
        <v>92</v>
      </c>
      <c r="D187" s="72">
        <f t="shared" si="10"/>
        <v>10</v>
      </c>
      <c r="E187" s="72">
        <f t="shared" si="9"/>
        <v>1</v>
      </c>
      <c r="F187" s="48" t="s">
        <v>408</v>
      </c>
      <c r="G187" s="72" t="s">
        <v>324</v>
      </c>
      <c r="H187" s="79">
        <v>5</v>
      </c>
      <c r="I187" s="86"/>
      <c r="J187" s="79"/>
      <c r="O187" s="87"/>
      <c r="R187" s="81"/>
      <c r="X187" s="87"/>
      <c r="Y187" s="81"/>
      <c r="Z187" s="87"/>
      <c r="AA187" s="81"/>
      <c r="AF187" s="87"/>
      <c r="AG187" s="87"/>
      <c r="AH187" s="87"/>
      <c r="AI187" s="87"/>
      <c r="AJ187" s="87"/>
      <c r="AK187" s="81"/>
    </row>
    <row r="188" spans="1:10">
      <c r="A188" s="78">
        <f t="shared" si="11"/>
        <v>1101</v>
      </c>
      <c r="B188" s="78" t="str">
        <f>INDEX(武器技能设计!$B$2:$B$17,MATCH(D188,武器技能设计!$A$2:$A$17,0))</f>
        <v>手榴弹</v>
      </c>
      <c r="C188" s="76" t="s">
        <v>355</v>
      </c>
      <c r="D188" s="78">
        <f t="shared" si="10"/>
        <v>11</v>
      </c>
      <c r="E188" s="78">
        <f t="shared" si="9"/>
        <v>99</v>
      </c>
      <c r="F188" s="41" t="s">
        <v>356</v>
      </c>
      <c r="G188" s="78" t="s">
        <v>324</v>
      </c>
      <c r="H188" s="80">
        <v>0.25</v>
      </c>
      <c r="I188" s="88"/>
      <c r="J188" s="80"/>
    </row>
    <row r="189" spans="1:10">
      <c r="A189" s="35">
        <f t="shared" si="11"/>
        <v>1102</v>
      </c>
      <c r="B189" s="35" t="str">
        <f>INDEX(武器技能设计!$B$2:$B$17,MATCH(D189,武器技能设计!$A$2:$A$17,0))</f>
        <v>手榴弹</v>
      </c>
      <c r="C189" s="41" t="s">
        <v>322</v>
      </c>
      <c r="D189" s="35">
        <f t="shared" si="10"/>
        <v>11</v>
      </c>
      <c r="E189" s="35">
        <f t="shared" si="9"/>
        <v>99</v>
      </c>
      <c r="F189" s="41" t="s">
        <v>357</v>
      </c>
      <c r="G189" s="35" t="s">
        <v>358</v>
      </c>
      <c r="H189" s="24">
        <v>0.15</v>
      </c>
      <c r="I189" s="54"/>
      <c r="J189" s="24"/>
    </row>
    <row r="190" spans="1:10">
      <c r="A190" s="35">
        <f t="shared" si="11"/>
        <v>1103</v>
      </c>
      <c r="B190" s="35" t="str">
        <f>INDEX(武器技能设计!$B$2:$B$17,MATCH(D190,武器技能设计!$A$2:$A$17,0))</f>
        <v>手榴弹</v>
      </c>
      <c r="C190" s="41" t="s">
        <v>360</v>
      </c>
      <c r="D190" s="35">
        <f t="shared" si="10"/>
        <v>11</v>
      </c>
      <c r="E190" s="35">
        <f t="shared" si="9"/>
        <v>99</v>
      </c>
      <c r="F190" s="41" t="s">
        <v>361</v>
      </c>
      <c r="G190" s="35" t="s">
        <v>230</v>
      </c>
      <c r="H190" s="24">
        <v>0.1</v>
      </c>
      <c r="I190" s="54"/>
      <c r="J190" s="24"/>
    </row>
    <row r="191" spans="1:10">
      <c r="A191" s="35">
        <f t="shared" si="11"/>
        <v>1111</v>
      </c>
      <c r="B191" s="35" t="str">
        <f>INDEX(武器技能设计!$B$2:$B$17,MATCH(D191,武器技能设计!$A$2:$A$17,0))</f>
        <v>手榴弹</v>
      </c>
      <c r="C191" s="44" t="s">
        <v>355</v>
      </c>
      <c r="D191" s="35">
        <f t="shared" si="10"/>
        <v>11</v>
      </c>
      <c r="E191" s="35">
        <f t="shared" si="9"/>
        <v>99</v>
      </c>
      <c r="F191" s="44" t="s">
        <v>362</v>
      </c>
      <c r="G191" s="35" t="s">
        <v>324</v>
      </c>
      <c r="H191" s="24">
        <v>0.5</v>
      </c>
      <c r="I191" s="54"/>
      <c r="J191" s="24"/>
    </row>
    <row r="192" spans="1:10">
      <c r="A192" s="35">
        <f t="shared" si="11"/>
        <v>1112</v>
      </c>
      <c r="B192" s="35" t="str">
        <f>INDEX(武器技能设计!$B$2:$B$17,MATCH(D192,武器技能设计!$A$2:$A$17,0))</f>
        <v>手榴弹</v>
      </c>
      <c r="C192" s="44" t="s">
        <v>322</v>
      </c>
      <c r="D192" s="35">
        <f t="shared" si="10"/>
        <v>11</v>
      </c>
      <c r="E192" s="35">
        <f t="shared" si="9"/>
        <v>99</v>
      </c>
      <c r="F192" s="44" t="s">
        <v>363</v>
      </c>
      <c r="G192" s="35" t="s">
        <v>358</v>
      </c>
      <c r="H192" s="24">
        <v>0.25</v>
      </c>
      <c r="I192" s="54"/>
      <c r="J192" s="24"/>
    </row>
    <row r="193" spans="1:10">
      <c r="A193" s="35">
        <f t="shared" si="11"/>
        <v>1113</v>
      </c>
      <c r="B193" s="35" t="str">
        <f>INDEX(武器技能设计!$B$2:$B$17,MATCH(D193,武器技能设计!$A$2:$A$17,0))</f>
        <v>手榴弹</v>
      </c>
      <c r="C193" s="44" t="s">
        <v>359</v>
      </c>
      <c r="D193" s="35">
        <f t="shared" si="10"/>
        <v>11</v>
      </c>
      <c r="E193" s="35">
        <f t="shared" si="9"/>
        <v>99</v>
      </c>
      <c r="F193" s="44" t="s">
        <v>364</v>
      </c>
      <c r="G193" s="35" t="s">
        <v>359</v>
      </c>
      <c r="H193" s="24">
        <v>0.5</v>
      </c>
      <c r="I193" s="54"/>
      <c r="J193" s="24"/>
    </row>
    <row r="194" spans="1:10">
      <c r="A194" s="35">
        <f t="shared" si="11"/>
        <v>1114</v>
      </c>
      <c r="B194" s="35" t="str">
        <f>INDEX(武器技能设计!$B$2:$B$17,MATCH(D194,武器技能设计!$A$2:$A$17,0))</f>
        <v>手榴弹</v>
      </c>
      <c r="C194" s="44" t="s">
        <v>360</v>
      </c>
      <c r="D194" s="35">
        <f t="shared" si="10"/>
        <v>11</v>
      </c>
      <c r="E194" s="35">
        <f t="shared" si="9"/>
        <v>99</v>
      </c>
      <c r="F194" s="44" t="s">
        <v>365</v>
      </c>
      <c r="G194" s="35" t="s">
        <v>230</v>
      </c>
      <c r="H194" s="24">
        <v>0.2</v>
      </c>
      <c r="I194" s="54"/>
      <c r="J194" s="24"/>
    </row>
    <row r="195" spans="1:10">
      <c r="A195" s="35">
        <f t="shared" si="11"/>
        <v>1121</v>
      </c>
      <c r="B195" s="35" t="str">
        <f>INDEX(武器技能设计!$B$2:$B$17,MATCH(D195,武器技能设计!$A$2:$A$17,0))</f>
        <v>手榴弹</v>
      </c>
      <c r="C195" s="46" t="s">
        <v>355</v>
      </c>
      <c r="D195" s="35">
        <f t="shared" si="10"/>
        <v>11</v>
      </c>
      <c r="E195" s="35">
        <f t="shared" si="9"/>
        <v>99</v>
      </c>
      <c r="F195" s="46" t="s">
        <v>366</v>
      </c>
      <c r="G195" s="35" t="s">
        <v>324</v>
      </c>
      <c r="H195" s="24">
        <v>1</v>
      </c>
      <c r="I195" s="54"/>
      <c r="J195" s="24"/>
    </row>
    <row r="196" spans="1:10">
      <c r="A196" s="35">
        <f t="shared" si="11"/>
        <v>1122</v>
      </c>
      <c r="B196" s="35" t="str">
        <f>INDEX(武器技能设计!$B$2:$B$17,MATCH(D196,武器技能设计!$A$2:$A$17,0))</f>
        <v>手榴弹</v>
      </c>
      <c r="C196" s="46" t="s">
        <v>322</v>
      </c>
      <c r="D196" s="35">
        <f t="shared" si="10"/>
        <v>11</v>
      </c>
      <c r="E196" s="35">
        <f t="shared" si="9"/>
        <v>99</v>
      </c>
      <c r="F196" s="46" t="s">
        <v>367</v>
      </c>
      <c r="G196" s="35" t="s">
        <v>358</v>
      </c>
      <c r="H196" s="24">
        <v>0.5</v>
      </c>
      <c r="I196" s="54"/>
      <c r="J196" s="24"/>
    </row>
    <row r="197" spans="1:10">
      <c r="A197" s="35">
        <f t="shared" si="11"/>
        <v>1123</v>
      </c>
      <c r="B197" s="35" t="str">
        <f>INDEX(武器技能设计!$B$2:$B$17,MATCH(D197,武器技能设计!$A$2:$A$17,0))</f>
        <v>手榴弹</v>
      </c>
      <c r="C197" s="46" t="s">
        <v>359</v>
      </c>
      <c r="D197" s="35">
        <f t="shared" si="10"/>
        <v>11</v>
      </c>
      <c r="E197" s="35">
        <f t="shared" si="9"/>
        <v>99</v>
      </c>
      <c r="F197" s="46" t="s">
        <v>368</v>
      </c>
      <c r="G197" s="35" t="s">
        <v>359</v>
      </c>
      <c r="H197" s="24">
        <v>1</v>
      </c>
      <c r="I197" s="54"/>
      <c r="J197" s="24"/>
    </row>
    <row r="198" spans="1:10">
      <c r="A198" s="35">
        <f t="shared" si="11"/>
        <v>1124</v>
      </c>
      <c r="B198" s="35" t="str">
        <f>INDEX(武器技能设计!$B$2:$B$17,MATCH(D198,武器技能设计!$A$2:$A$17,0))</f>
        <v>手榴弹</v>
      </c>
      <c r="C198" s="46" t="s">
        <v>360</v>
      </c>
      <c r="D198" s="35">
        <f t="shared" si="10"/>
        <v>11</v>
      </c>
      <c r="E198" s="35">
        <f t="shared" si="9"/>
        <v>99</v>
      </c>
      <c r="F198" s="46" t="s">
        <v>369</v>
      </c>
      <c r="G198" s="35" t="s">
        <v>230</v>
      </c>
      <c r="H198" s="24">
        <v>0.3</v>
      </c>
      <c r="I198" s="54"/>
      <c r="J198" s="24"/>
    </row>
    <row r="199" spans="1:10">
      <c r="A199" s="35">
        <f t="shared" si="11"/>
        <v>1131</v>
      </c>
      <c r="B199" s="35" t="str">
        <f>INDEX(武器技能设计!$B$2:$B$17,MATCH(D199,武器技能设计!$A$2:$A$17,0))</f>
        <v>手榴弹</v>
      </c>
      <c r="C199" s="44" t="s">
        <v>95</v>
      </c>
      <c r="D199" s="35">
        <f t="shared" si="10"/>
        <v>11</v>
      </c>
      <c r="E199" s="35">
        <f t="shared" si="9"/>
        <v>1</v>
      </c>
      <c r="F199" s="44" t="s">
        <v>95</v>
      </c>
      <c r="G199" s="35" t="s">
        <v>136</v>
      </c>
      <c r="H199" s="24">
        <v>1</v>
      </c>
      <c r="I199" s="54"/>
      <c r="J199" s="24"/>
    </row>
    <row r="200" spans="1:10">
      <c r="A200" s="35">
        <f t="shared" si="11"/>
        <v>1132</v>
      </c>
      <c r="B200" s="35" t="str">
        <f>INDEX(武器技能设计!$B$2:$B$17,MATCH(D200,武器技能设计!$A$2:$A$17,0))</f>
        <v>手榴弹</v>
      </c>
      <c r="C200" s="44" t="s">
        <v>45</v>
      </c>
      <c r="D200" s="35">
        <f t="shared" si="10"/>
        <v>11</v>
      </c>
      <c r="E200" s="35">
        <f t="shared" si="9"/>
        <v>1</v>
      </c>
      <c r="F200" s="44" t="s">
        <v>376</v>
      </c>
      <c r="G200" s="35" t="s">
        <v>337</v>
      </c>
      <c r="H200" s="24">
        <v>1</v>
      </c>
      <c r="I200" s="54"/>
      <c r="J200" s="24"/>
    </row>
    <row r="201" spans="1:10">
      <c r="A201" s="35">
        <f t="shared" si="11"/>
        <v>1141</v>
      </c>
      <c r="B201" s="35" t="str">
        <f>INDEX(武器技能设计!$B$2:$B$17,MATCH(D201,武器技能设计!$A$2:$A$17,0))</f>
        <v>手榴弹</v>
      </c>
      <c r="C201" s="46" t="s">
        <v>52</v>
      </c>
      <c r="D201" s="35">
        <f t="shared" si="10"/>
        <v>11</v>
      </c>
      <c r="E201" s="35">
        <f t="shared" si="9"/>
        <v>1</v>
      </c>
      <c r="F201" s="46" t="s">
        <v>52</v>
      </c>
      <c r="G201" s="35" t="s">
        <v>136</v>
      </c>
      <c r="H201" s="24">
        <v>1</v>
      </c>
      <c r="I201" s="54" t="s">
        <v>324</v>
      </c>
      <c r="J201" s="24">
        <v>1</v>
      </c>
    </row>
    <row r="202" spans="1:10">
      <c r="A202" s="35">
        <f t="shared" ref="A202:A219" si="12">A185+100</f>
        <v>1142</v>
      </c>
      <c r="B202" s="35" t="str">
        <f>INDEX(武器技能设计!$B$2:$B$17,MATCH(D202,武器技能设计!$A$2:$A$17,0))</f>
        <v>手榴弹</v>
      </c>
      <c r="C202" s="46" t="s">
        <v>96</v>
      </c>
      <c r="D202" s="35">
        <f t="shared" si="10"/>
        <v>11</v>
      </c>
      <c r="E202" s="35">
        <f t="shared" si="9"/>
        <v>1</v>
      </c>
      <c r="F202" s="46" t="s">
        <v>409</v>
      </c>
      <c r="G202" s="35" t="s">
        <v>326</v>
      </c>
      <c r="H202" s="24">
        <v>1</v>
      </c>
      <c r="I202" s="54" t="s">
        <v>324</v>
      </c>
      <c r="J202" s="24">
        <v>1</v>
      </c>
    </row>
    <row r="203" spans="1:10">
      <c r="A203" s="35">
        <f t="shared" si="12"/>
        <v>1151</v>
      </c>
      <c r="B203" s="35" t="str">
        <f>INDEX(武器技能设计!$B$2:$B$17,MATCH(D203,武器技能设计!$A$2:$A$17,0))</f>
        <v>手榴弹</v>
      </c>
      <c r="C203" s="47" t="s">
        <v>97</v>
      </c>
      <c r="D203" s="35">
        <f t="shared" si="10"/>
        <v>11</v>
      </c>
      <c r="E203" s="35">
        <f t="shared" si="9"/>
        <v>1</v>
      </c>
      <c r="F203" s="47" t="s">
        <v>97</v>
      </c>
      <c r="G203" s="35" t="s">
        <v>358</v>
      </c>
      <c r="H203" s="24">
        <v>0.5</v>
      </c>
      <c r="I203" s="54" t="s">
        <v>324</v>
      </c>
      <c r="J203" s="24">
        <v>5</v>
      </c>
    </row>
    <row r="204" s="36" customFormat="1" ht="14.55" spans="1:37">
      <c r="A204" s="72">
        <f t="shared" si="12"/>
        <v>1152</v>
      </c>
      <c r="B204" s="72" t="str">
        <f>INDEX(武器技能设计!$B$2:$B$17,MATCH(D204,武器技能设计!$A$2:$A$17,0))</f>
        <v>手榴弹</v>
      </c>
      <c r="C204" s="48" t="s">
        <v>28</v>
      </c>
      <c r="D204" s="72">
        <f t="shared" si="10"/>
        <v>11</v>
      </c>
      <c r="E204" s="72">
        <f t="shared" si="9"/>
        <v>1</v>
      </c>
      <c r="F204" s="48" t="s">
        <v>371</v>
      </c>
      <c r="G204" s="72" t="s">
        <v>334</v>
      </c>
      <c r="H204" s="79">
        <v>4</v>
      </c>
      <c r="I204" s="86"/>
      <c r="J204" s="79"/>
      <c r="O204" s="87"/>
      <c r="R204" s="81"/>
      <c r="X204" s="87"/>
      <c r="Y204" s="81"/>
      <c r="Z204" s="87"/>
      <c r="AA204" s="81"/>
      <c r="AF204" s="87"/>
      <c r="AG204" s="87"/>
      <c r="AH204" s="87"/>
      <c r="AI204" s="87"/>
      <c r="AJ204" s="87"/>
      <c r="AK204" s="81"/>
    </row>
    <row r="205" spans="1:10">
      <c r="A205" s="78">
        <f t="shared" si="12"/>
        <v>1201</v>
      </c>
      <c r="B205" s="78" t="str">
        <f>INDEX(武器技能设计!$B$2:$B$17,MATCH(D205,武器技能设计!$A$2:$A$17,0))</f>
        <v>激光枪</v>
      </c>
      <c r="C205" s="76" t="s">
        <v>355</v>
      </c>
      <c r="D205" s="78">
        <f t="shared" si="10"/>
        <v>12</v>
      </c>
      <c r="E205" s="78">
        <f t="shared" si="9"/>
        <v>99</v>
      </c>
      <c r="F205" s="41" t="s">
        <v>356</v>
      </c>
      <c r="G205" s="78" t="s">
        <v>324</v>
      </c>
      <c r="H205" s="80">
        <v>0.25</v>
      </c>
      <c r="I205" s="88"/>
      <c r="J205" s="80"/>
    </row>
    <row r="206" spans="1:10">
      <c r="A206" s="35">
        <f t="shared" si="12"/>
        <v>1202</v>
      </c>
      <c r="B206" s="35" t="str">
        <f>INDEX(武器技能设计!$B$2:$B$17,MATCH(D206,武器技能设计!$A$2:$A$17,0))</f>
        <v>激光枪</v>
      </c>
      <c r="C206" s="41" t="s">
        <v>322</v>
      </c>
      <c r="D206" s="35">
        <f t="shared" si="10"/>
        <v>12</v>
      </c>
      <c r="E206" s="35">
        <f t="shared" si="9"/>
        <v>99</v>
      </c>
      <c r="F206" s="41" t="s">
        <v>357</v>
      </c>
      <c r="G206" s="35" t="s">
        <v>358</v>
      </c>
      <c r="H206" s="24">
        <v>0.15</v>
      </c>
      <c r="I206" s="54"/>
      <c r="J206" s="24"/>
    </row>
    <row r="207" spans="1:10">
      <c r="A207" s="35">
        <f t="shared" si="12"/>
        <v>1203</v>
      </c>
      <c r="B207" s="35" t="str">
        <f>INDEX(武器技能设计!$B$2:$B$17,MATCH(D207,武器技能设计!$A$2:$A$17,0))</f>
        <v>激光枪</v>
      </c>
      <c r="C207" s="41" t="s">
        <v>360</v>
      </c>
      <c r="D207" s="35">
        <f t="shared" si="10"/>
        <v>12</v>
      </c>
      <c r="E207" s="35">
        <f t="shared" si="9"/>
        <v>99</v>
      </c>
      <c r="F207" s="41" t="s">
        <v>361</v>
      </c>
      <c r="G207" s="35" t="s">
        <v>230</v>
      </c>
      <c r="H207" s="24">
        <v>0.1</v>
      </c>
      <c r="I207" s="54"/>
      <c r="J207" s="24"/>
    </row>
    <row r="208" spans="1:10">
      <c r="A208" s="35">
        <f t="shared" si="12"/>
        <v>1211</v>
      </c>
      <c r="B208" s="35" t="str">
        <f>INDEX(武器技能设计!$B$2:$B$17,MATCH(D208,武器技能设计!$A$2:$A$17,0))</f>
        <v>激光枪</v>
      </c>
      <c r="C208" s="44" t="s">
        <v>355</v>
      </c>
      <c r="D208" s="35">
        <f t="shared" si="10"/>
        <v>12</v>
      </c>
      <c r="E208" s="35">
        <f t="shared" si="9"/>
        <v>99</v>
      </c>
      <c r="F208" s="44" t="s">
        <v>362</v>
      </c>
      <c r="G208" s="35" t="s">
        <v>324</v>
      </c>
      <c r="H208" s="24">
        <v>0.5</v>
      </c>
      <c r="I208" s="54"/>
      <c r="J208" s="24"/>
    </row>
    <row r="209" spans="1:10">
      <c r="A209" s="35">
        <f t="shared" si="12"/>
        <v>1212</v>
      </c>
      <c r="B209" s="35" t="str">
        <f>INDEX(武器技能设计!$B$2:$B$17,MATCH(D209,武器技能设计!$A$2:$A$17,0))</f>
        <v>激光枪</v>
      </c>
      <c r="C209" s="44" t="s">
        <v>322</v>
      </c>
      <c r="D209" s="35">
        <f t="shared" si="10"/>
        <v>12</v>
      </c>
      <c r="E209" s="35">
        <f t="shared" si="9"/>
        <v>99</v>
      </c>
      <c r="F209" s="44" t="s">
        <v>363</v>
      </c>
      <c r="G209" s="35" t="s">
        <v>358</v>
      </c>
      <c r="H209" s="24">
        <v>0.25</v>
      </c>
      <c r="I209" s="54"/>
      <c r="J209" s="24"/>
    </row>
    <row r="210" spans="1:10">
      <c r="A210" s="35">
        <f t="shared" si="12"/>
        <v>1213</v>
      </c>
      <c r="B210" s="35" t="str">
        <f>INDEX(武器技能设计!$B$2:$B$17,MATCH(D210,武器技能设计!$A$2:$A$17,0))</f>
        <v>激光枪</v>
      </c>
      <c r="C210" s="44" t="s">
        <v>359</v>
      </c>
      <c r="D210" s="35">
        <f t="shared" si="10"/>
        <v>12</v>
      </c>
      <c r="E210" s="35">
        <f t="shared" si="9"/>
        <v>99</v>
      </c>
      <c r="F210" s="44" t="s">
        <v>364</v>
      </c>
      <c r="G210" s="35" t="s">
        <v>359</v>
      </c>
      <c r="H210" s="24">
        <v>0.5</v>
      </c>
      <c r="I210" s="54"/>
      <c r="J210" s="24"/>
    </row>
    <row r="211" spans="1:10">
      <c r="A211" s="35">
        <f t="shared" si="12"/>
        <v>1214</v>
      </c>
      <c r="B211" s="35" t="str">
        <f>INDEX(武器技能设计!$B$2:$B$17,MATCH(D211,武器技能设计!$A$2:$A$17,0))</f>
        <v>激光枪</v>
      </c>
      <c r="C211" s="44" t="s">
        <v>360</v>
      </c>
      <c r="D211" s="35">
        <f t="shared" si="10"/>
        <v>12</v>
      </c>
      <c r="E211" s="35">
        <f t="shared" si="9"/>
        <v>99</v>
      </c>
      <c r="F211" s="44" t="s">
        <v>365</v>
      </c>
      <c r="G211" s="35" t="s">
        <v>230</v>
      </c>
      <c r="H211" s="24">
        <v>0.2</v>
      </c>
      <c r="I211" s="54"/>
      <c r="J211" s="24"/>
    </row>
    <row r="212" spans="1:10">
      <c r="A212" s="35">
        <f t="shared" si="12"/>
        <v>1221</v>
      </c>
      <c r="B212" s="35" t="str">
        <f>INDEX(武器技能设计!$B$2:$B$17,MATCH(D212,武器技能设计!$A$2:$A$17,0))</f>
        <v>激光枪</v>
      </c>
      <c r="C212" s="46" t="s">
        <v>355</v>
      </c>
      <c r="D212" s="35">
        <f t="shared" si="10"/>
        <v>12</v>
      </c>
      <c r="E212" s="35">
        <f t="shared" si="9"/>
        <v>99</v>
      </c>
      <c r="F212" s="46" t="s">
        <v>366</v>
      </c>
      <c r="G212" s="35" t="s">
        <v>324</v>
      </c>
      <c r="H212" s="24">
        <v>1</v>
      </c>
      <c r="I212" s="54"/>
      <c r="J212" s="24"/>
    </row>
    <row r="213" spans="1:10">
      <c r="A213" s="35">
        <f t="shared" si="12"/>
        <v>1222</v>
      </c>
      <c r="B213" s="35" t="str">
        <f>INDEX(武器技能设计!$B$2:$B$17,MATCH(D213,武器技能设计!$A$2:$A$17,0))</f>
        <v>激光枪</v>
      </c>
      <c r="C213" s="46" t="s">
        <v>322</v>
      </c>
      <c r="D213" s="35">
        <f t="shared" si="10"/>
        <v>12</v>
      </c>
      <c r="E213" s="35">
        <f t="shared" si="9"/>
        <v>99</v>
      </c>
      <c r="F213" s="46" t="s">
        <v>367</v>
      </c>
      <c r="G213" s="35" t="s">
        <v>358</v>
      </c>
      <c r="H213" s="24">
        <v>0.5</v>
      </c>
      <c r="I213" s="54"/>
      <c r="J213" s="24"/>
    </row>
    <row r="214" spans="1:10">
      <c r="A214" s="35">
        <f t="shared" si="12"/>
        <v>1223</v>
      </c>
      <c r="B214" s="35" t="str">
        <f>INDEX(武器技能设计!$B$2:$B$17,MATCH(D214,武器技能设计!$A$2:$A$17,0))</f>
        <v>激光枪</v>
      </c>
      <c r="C214" s="46" t="s">
        <v>359</v>
      </c>
      <c r="D214" s="35">
        <f t="shared" si="10"/>
        <v>12</v>
      </c>
      <c r="E214" s="35">
        <f t="shared" si="9"/>
        <v>99</v>
      </c>
      <c r="F214" s="46" t="s">
        <v>368</v>
      </c>
      <c r="G214" s="35" t="s">
        <v>359</v>
      </c>
      <c r="H214" s="24">
        <v>1</v>
      </c>
      <c r="I214" s="54"/>
      <c r="J214" s="24"/>
    </row>
    <row r="215" spans="1:10">
      <c r="A215" s="35">
        <f t="shared" si="12"/>
        <v>1224</v>
      </c>
      <c r="B215" s="35" t="str">
        <f>INDEX(武器技能设计!$B$2:$B$17,MATCH(D215,武器技能设计!$A$2:$A$17,0))</f>
        <v>激光枪</v>
      </c>
      <c r="C215" s="46" t="s">
        <v>360</v>
      </c>
      <c r="D215" s="35">
        <f t="shared" si="10"/>
        <v>12</v>
      </c>
      <c r="E215" s="35">
        <f t="shared" si="9"/>
        <v>99</v>
      </c>
      <c r="F215" s="46" t="s">
        <v>369</v>
      </c>
      <c r="G215" s="35" t="s">
        <v>230</v>
      </c>
      <c r="H215" s="24">
        <v>0.3</v>
      </c>
      <c r="I215" s="54"/>
      <c r="J215" s="24"/>
    </row>
    <row r="216" spans="1:10">
      <c r="A216" s="35">
        <f t="shared" si="12"/>
        <v>1231</v>
      </c>
      <c r="B216" s="35" t="str">
        <f>INDEX(武器技能设计!$B$2:$B$17,MATCH(D216,武器技能设计!$A$2:$A$17,0))</f>
        <v>激光枪</v>
      </c>
      <c r="C216" s="44" t="s">
        <v>99</v>
      </c>
      <c r="D216" s="35">
        <f t="shared" si="10"/>
        <v>12</v>
      </c>
      <c r="E216" s="35">
        <f t="shared" si="9"/>
        <v>1</v>
      </c>
      <c r="F216" s="44" t="s">
        <v>410</v>
      </c>
      <c r="G216" s="35" t="s">
        <v>341</v>
      </c>
      <c r="H216" s="24">
        <v>0.25</v>
      </c>
      <c r="I216" s="54"/>
      <c r="J216" s="24"/>
    </row>
    <row r="217" spans="1:10">
      <c r="A217" s="35">
        <f t="shared" si="12"/>
        <v>1232</v>
      </c>
      <c r="B217" s="35" t="str">
        <f>INDEX(武器技能设计!$B$2:$B$17,MATCH(D217,武器技能设计!$A$2:$A$17,0))</f>
        <v>激光枪</v>
      </c>
      <c r="C217" s="44" t="s">
        <v>100</v>
      </c>
      <c r="D217" s="35">
        <f t="shared" si="10"/>
        <v>12</v>
      </c>
      <c r="E217" s="35">
        <f t="shared" si="9"/>
        <v>1</v>
      </c>
      <c r="F217" s="44" t="s">
        <v>100</v>
      </c>
      <c r="G217" s="35" t="s">
        <v>324</v>
      </c>
      <c r="H217" s="24">
        <v>1.5</v>
      </c>
      <c r="I217" s="54"/>
      <c r="J217" s="24"/>
    </row>
    <row r="218" spans="1:10">
      <c r="A218" s="35">
        <f t="shared" si="12"/>
        <v>1241</v>
      </c>
      <c r="B218" s="35" t="str">
        <f>INDEX(武器技能设计!$B$2:$B$17,MATCH(D218,武器技能设计!$A$2:$A$17,0))</f>
        <v>激光枪</v>
      </c>
      <c r="C218" s="46" t="s">
        <v>84</v>
      </c>
      <c r="D218" s="35">
        <f t="shared" si="10"/>
        <v>12</v>
      </c>
      <c r="E218" s="35">
        <f t="shared" si="9"/>
        <v>1</v>
      </c>
      <c r="F218" s="46" t="s">
        <v>27</v>
      </c>
      <c r="G218" s="35" t="s">
        <v>358</v>
      </c>
      <c r="H218" s="24">
        <v>0.5</v>
      </c>
      <c r="I218" s="54" t="s">
        <v>359</v>
      </c>
      <c r="J218" s="24">
        <v>1</v>
      </c>
    </row>
    <row r="219" spans="1:10">
      <c r="A219" s="35">
        <f t="shared" si="12"/>
        <v>1242</v>
      </c>
      <c r="B219" s="35" t="str">
        <f>INDEX(武器技能设计!$B$2:$B$17,MATCH(D219,武器技能设计!$A$2:$A$17,0))</f>
        <v>激光枪</v>
      </c>
      <c r="C219" s="46" t="s">
        <v>101</v>
      </c>
      <c r="D219" s="35">
        <f t="shared" si="10"/>
        <v>12</v>
      </c>
      <c r="E219" s="35">
        <f t="shared" si="9"/>
        <v>1</v>
      </c>
      <c r="F219" s="46" t="s">
        <v>411</v>
      </c>
      <c r="G219" s="35" t="s">
        <v>324</v>
      </c>
      <c r="H219" s="24">
        <v>2</v>
      </c>
      <c r="I219" s="54"/>
      <c r="J219" s="24"/>
    </row>
    <row r="220" spans="1:10">
      <c r="A220" s="35">
        <f t="shared" ref="A220:A241" si="13">A203+100</f>
        <v>1251</v>
      </c>
      <c r="B220" s="35" t="str">
        <f>INDEX(武器技能设计!$B$2:$B$17,MATCH(D220,武器技能设计!$A$2:$A$17,0))</f>
        <v>激光枪</v>
      </c>
      <c r="C220" s="47" t="s">
        <v>102</v>
      </c>
      <c r="D220" s="35">
        <f t="shared" si="10"/>
        <v>12</v>
      </c>
      <c r="E220" s="35">
        <f t="shared" si="9"/>
        <v>1</v>
      </c>
      <c r="F220" s="47" t="s">
        <v>412</v>
      </c>
      <c r="G220" s="35" t="s">
        <v>324</v>
      </c>
      <c r="H220" s="24">
        <v>4.5</v>
      </c>
      <c r="I220" s="54"/>
      <c r="J220" s="24"/>
    </row>
    <row r="221" s="36" customFormat="1" ht="14.55" spans="1:37">
      <c r="A221" s="72">
        <f t="shared" si="13"/>
        <v>1252</v>
      </c>
      <c r="B221" s="72" t="str">
        <f>INDEX(武器技能设计!$B$2:$B$17,MATCH(D221,武器技能设计!$A$2:$A$17,0))</f>
        <v>激光枪</v>
      </c>
      <c r="C221" s="48" t="s">
        <v>103</v>
      </c>
      <c r="D221" s="72">
        <f t="shared" si="10"/>
        <v>12</v>
      </c>
      <c r="E221" s="72">
        <f t="shared" si="9"/>
        <v>1</v>
      </c>
      <c r="F221" s="48" t="s">
        <v>413</v>
      </c>
      <c r="G221" s="72" t="s">
        <v>136</v>
      </c>
      <c r="H221" s="79">
        <v>2</v>
      </c>
      <c r="I221" s="86" t="s">
        <v>334</v>
      </c>
      <c r="J221" s="79">
        <v>2</v>
      </c>
      <c r="O221" s="87"/>
      <c r="R221" s="81"/>
      <c r="X221" s="87"/>
      <c r="Y221" s="81"/>
      <c r="Z221" s="87"/>
      <c r="AA221" s="81"/>
      <c r="AF221" s="87"/>
      <c r="AG221" s="87"/>
      <c r="AH221" s="87"/>
      <c r="AI221" s="87"/>
      <c r="AJ221" s="87"/>
      <c r="AK221" s="81"/>
    </row>
    <row r="222" spans="1:10">
      <c r="A222" s="78">
        <f t="shared" si="13"/>
        <v>1301</v>
      </c>
      <c r="B222" s="78" t="str">
        <f>INDEX(武器技能设计!$B$2:$B$17,MATCH(D222,武器技能设计!$A$2:$A$17,0))</f>
        <v>追踪导弹</v>
      </c>
      <c r="C222" s="76" t="s">
        <v>355</v>
      </c>
      <c r="D222" s="78">
        <f t="shared" si="10"/>
        <v>13</v>
      </c>
      <c r="E222" s="78">
        <f t="shared" si="9"/>
        <v>99</v>
      </c>
      <c r="F222" s="41" t="s">
        <v>356</v>
      </c>
      <c r="G222" s="78" t="s">
        <v>324</v>
      </c>
      <c r="H222" s="80">
        <v>0.25</v>
      </c>
      <c r="I222" s="88"/>
      <c r="J222" s="80"/>
    </row>
    <row r="223" spans="1:10">
      <c r="A223" s="35">
        <f t="shared" si="13"/>
        <v>1302</v>
      </c>
      <c r="B223" s="35" t="str">
        <f>INDEX(武器技能设计!$B$2:$B$17,MATCH(D223,武器技能设计!$A$2:$A$17,0))</f>
        <v>追踪导弹</v>
      </c>
      <c r="C223" s="41" t="s">
        <v>322</v>
      </c>
      <c r="D223" s="35">
        <f t="shared" si="10"/>
        <v>13</v>
      </c>
      <c r="E223" s="35">
        <f t="shared" si="9"/>
        <v>99</v>
      </c>
      <c r="F223" s="41" t="s">
        <v>357</v>
      </c>
      <c r="G223" s="35" t="s">
        <v>358</v>
      </c>
      <c r="H223" s="24">
        <v>0.15</v>
      </c>
      <c r="I223" s="54"/>
      <c r="J223" s="24"/>
    </row>
    <row r="224" spans="1:10">
      <c r="A224" s="35">
        <f t="shared" si="13"/>
        <v>1303</v>
      </c>
      <c r="B224" s="35" t="str">
        <f>INDEX(武器技能设计!$B$2:$B$17,MATCH(D224,武器技能设计!$A$2:$A$17,0))</f>
        <v>追踪导弹</v>
      </c>
      <c r="C224" s="41" t="s">
        <v>360</v>
      </c>
      <c r="D224" s="35">
        <f t="shared" si="10"/>
        <v>13</v>
      </c>
      <c r="E224" s="35">
        <f t="shared" si="9"/>
        <v>99</v>
      </c>
      <c r="F224" s="41" t="s">
        <v>361</v>
      </c>
      <c r="G224" s="35" t="s">
        <v>230</v>
      </c>
      <c r="H224" s="24">
        <v>0.1</v>
      </c>
      <c r="I224" s="54"/>
      <c r="J224" s="24"/>
    </row>
    <row r="225" spans="1:10">
      <c r="A225" s="35">
        <f t="shared" si="13"/>
        <v>1311</v>
      </c>
      <c r="B225" s="35" t="str">
        <f>INDEX(武器技能设计!$B$2:$B$17,MATCH(D225,武器技能设计!$A$2:$A$17,0))</f>
        <v>追踪导弹</v>
      </c>
      <c r="C225" s="44" t="s">
        <v>355</v>
      </c>
      <c r="D225" s="35">
        <f t="shared" si="10"/>
        <v>13</v>
      </c>
      <c r="E225" s="35">
        <f t="shared" si="9"/>
        <v>99</v>
      </c>
      <c r="F225" s="44" t="s">
        <v>362</v>
      </c>
      <c r="G225" s="35" t="s">
        <v>324</v>
      </c>
      <c r="H225" s="24">
        <v>0.5</v>
      </c>
      <c r="I225" s="54"/>
      <c r="J225" s="24"/>
    </row>
    <row r="226" spans="1:10">
      <c r="A226" s="35">
        <f t="shared" si="13"/>
        <v>1312</v>
      </c>
      <c r="B226" s="35" t="str">
        <f>INDEX(武器技能设计!$B$2:$B$17,MATCH(D226,武器技能设计!$A$2:$A$17,0))</f>
        <v>追踪导弹</v>
      </c>
      <c r="C226" s="44" t="s">
        <v>322</v>
      </c>
      <c r="D226" s="35">
        <f t="shared" si="10"/>
        <v>13</v>
      </c>
      <c r="E226" s="35">
        <f t="shared" si="9"/>
        <v>99</v>
      </c>
      <c r="F226" s="44" t="s">
        <v>363</v>
      </c>
      <c r="G226" s="35" t="s">
        <v>358</v>
      </c>
      <c r="H226" s="24">
        <v>0.25</v>
      </c>
      <c r="I226" s="54"/>
      <c r="J226" s="24"/>
    </row>
    <row r="227" spans="1:10">
      <c r="A227" s="35">
        <f t="shared" si="13"/>
        <v>1313</v>
      </c>
      <c r="B227" s="35" t="str">
        <f>INDEX(武器技能设计!$B$2:$B$17,MATCH(D227,武器技能设计!$A$2:$A$17,0))</f>
        <v>追踪导弹</v>
      </c>
      <c r="C227" s="44" t="s">
        <v>359</v>
      </c>
      <c r="D227" s="35">
        <f t="shared" si="10"/>
        <v>13</v>
      </c>
      <c r="E227" s="35">
        <f t="shared" si="9"/>
        <v>99</v>
      </c>
      <c r="F227" s="44" t="s">
        <v>364</v>
      </c>
      <c r="G227" s="35" t="s">
        <v>359</v>
      </c>
      <c r="H227" s="24">
        <v>0.5</v>
      </c>
      <c r="I227" s="54"/>
      <c r="J227" s="24"/>
    </row>
    <row r="228" spans="1:10">
      <c r="A228" s="35">
        <f t="shared" si="13"/>
        <v>1314</v>
      </c>
      <c r="B228" s="35" t="str">
        <f>INDEX(武器技能设计!$B$2:$B$17,MATCH(D228,武器技能设计!$A$2:$A$17,0))</f>
        <v>追踪导弹</v>
      </c>
      <c r="C228" s="44" t="s">
        <v>360</v>
      </c>
      <c r="D228" s="35">
        <f t="shared" si="10"/>
        <v>13</v>
      </c>
      <c r="E228" s="35">
        <f t="shared" ref="E228:E292" si="14">E211</f>
        <v>99</v>
      </c>
      <c r="F228" s="44" t="s">
        <v>365</v>
      </c>
      <c r="G228" s="35" t="s">
        <v>230</v>
      </c>
      <c r="H228" s="24">
        <v>0.2</v>
      </c>
      <c r="I228" s="54"/>
      <c r="J228" s="24"/>
    </row>
    <row r="229" spans="1:10">
      <c r="A229" s="35">
        <f t="shared" si="13"/>
        <v>1321</v>
      </c>
      <c r="B229" s="35" t="str">
        <f>INDEX(武器技能设计!$B$2:$B$17,MATCH(D229,武器技能设计!$A$2:$A$17,0))</f>
        <v>追踪导弹</v>
      </c>
      <c r="C229" s="46" t="s">
        <v>355</v>
      </c>
      <c r="D229" s="35">
        <f t="shared" si="10"/>
        <v>13</v>
      </c>
      <c r="E229" s="35">
        <f t="shared" si="14"/>
        <v>99</v>
      </c>
      <c r="F229" s="46" t="s">
        <v>366</v>
      </c>
      <c r="G229" s="35" t="s">
        <v>324</v>
      </c>
      <c r="H229" s="24">
        <v>1</v>
      </c>
      <c r="I229" s="54"/>
      <c r="J229" s="24"/>
    </row>
    <row r="230" spans="1:10">
      <c r="A230" s="35">
        <f t="shared" si="13"/>
        <v>1322</v>
      </c>
      <c r="B230" s="35" t="str">
        <f>INDEX(武器技能设计!$B$2:$B$17,MATCH(D230,武器技能设计!$A$2:$A$17,0))</f>
        <v>追踪导弹</v>
      </c>
      <c r="C230" s="46" t="s">
        <v>322</v>
      </c>
      <c r="D230" s="35">
        <f t="shared" si="10"/>
        <v>13</v>
      </c>
      <c r="E230" s="35">
        <f t="shared" si="14"/>
        <v>99</v>
      </c>
      <c r="F230" s="46" t="s">
        <v>367</v>
      </c>
      <c r="G230" s="35" t="s">
        <v>358</v>
      </c>
      <c r="H230" s="24">
        <v>0.5</v>
      </c>
      <c r="I230" s="54"/>
      <c r="J230" s="24"/>
    </row>
    <row r="231" spans="1:10">
      <c r="A231" s="35">
        <f t="shared" si="13"/>
        <v>1323</v>
      </c>
      <c r="B231" s="35" t="str">
        <f>INDEX(武器技能设计!$B$2:$B$17,MATCH(D231,武器技能设计!$A$2:$A$17,0))</f>
        <v>追踪导弹</v>
      </c>
      <c r="C231" s="46" t="s">
        <v>359</v>
      </c>
      <c r="D231" s="35">
        <f t="shared" si="10"/>
        <v>13</v>
      </c>
      <c r="E231" s="35">
        <f t="shared" si="14"/>
        <v>99</v>
      </c>
      <c r="F231" s="46" t="s">
        <v>368</v>
      </c>
      <c r="G231" s="35" t="s">
        <v>359</v>
      </c>
      <c r="H231" s="24">
        <v>1</v>
      </c>
      <c r="I231" s="54"/>
      <c r="J231" s="24"/>
    </row>
    <row r="232" spans="1:10">
      <c r="A232" s="35">
        <f t="shared" si="13"/>
        <v>1324</v>
      </c>
      <c r="B232" s="35" t="str">
        <f>INDEX(武器技能设计!$B$2:$B$17,MATCH(D232,武器技能设计!$A$2:$A$17,0))</f>
        <v>追踪导弹</v>
      </c>
      <c r="C232" s="46" t="s">
        <v>360</v>
      </c>
      <c r="D232" s="35">
        <f t="shared" si="10"/>
        <v>13</v>
      </c>
      <c r="E232" s="35">
        <f t="shared" si="14"/>
        <v>99</v>
      </c>
      <c r="F232" s="46" t="s">
        <v>369</v>
      </c>
      <c r="G232" s="35" t="s">
        <v>230</v>
      </c>
      <c r="H232" s="24">
        <v>0.3</v>
      </c>
      <c r="I232" s="54"/>
      <c r="J232" s="24"/>
    </row>
    <row r="233" spans="1:10">
      <c r="A233" s="35">
        <f t="shared" si="13"/>
        <v>1331</v>
      </c>
      <c r="B233" s="35" t="str">
        <f>INDEX(武器技能设计!$B$2:$B$17,MATCH(D233,武器技能设计!$A$2:$A$17,0))</f>
        <v>追踪导弹</v>
      </c>
      <c r="C233" s="44" t="s">
        <v>95</v>
      </c>
      <c r="D233" s="35">
        <f t="shared" si="10"/>
        <v>13</v>
      </c>
      <c r="E233" s="35">
        <f t="shared" si="14"/>
        <v>1</v>
      </c>
      <c r="F233" s="44" t="s">
        <v>95</v>
      </c>
      <c r="G233" s="35" t="s">
        <v>136</v>
      </c>
      <c r="H233" s="24">
        <v>1</v>
      </c>
      <c r="I233" s="54"/>
      <c r="J233" s="24"/>
    </row>
    <row r="234" spans="1:10">
      <c r="A234" s="35">
        <f t="shared" si="13"/>
        <v>1332</v>
      </c>
      <c r="B234" s="35" t="str">
        <f>INDEX(武器技能设计!$B$2:$B$17,MATCH(D234,武器技能设计!$A$2:$A$17,0))</f>
        <v>追踪导弹</v>
      </c>
      <c r="C234" s="44" t="s">
        <v>105</v>
      </c>
      <c r="D234" s="35">
        <f t="shared" si="10"/>
        <v>13</v>
      </c>
      <c r="E234" s="35">
        <f t="shared" si="14"/>
        <v>1</v>
      </c>
      <c r="F234" s="44" t="s">
        <v>414</v>
      </c>
      <c r="G234" s="35" t="s">
        <v>326</v>
      </c>
      <c r="H234" s="24">
        <v>1</v>
      </c>
      <c r="I234" s="54"/>
      <c r="J234" s="24"/>
    </row>
    <row r="235" ht="27.6" spans="1:10">
      <c r="A235" s="35">
        <f t="shared" si="13"/>
        <v>1341</v>
      </c>
      <c r="B235" s="35" t="str">
        <f>INDEX(武器技能设计!$B$2:$B$17,MATCH(D235,武器技能设计!$A$2:$A$17,0))</f>
        <v>追踪导弹</v>
      </c>
      <c r="C235" s="46" t="s">
        <v>106</v>
      </c>
      <c r="D235" s="35">
        <f t="shared" si="10"/>
        <v>13</v>
      </c>
      <c r="E235" s="35">
        <f t="shared" si="14"/>
        <v>1</v>
      </c>
      <c r="F235" s="46" t="s">
        <v>415</v>
      </c>
      <c r="G235" s="35" t="s">
        <v>337</v>
      </c>
      <c r="H235" s="24">
        <v>1</v>
      </c>
      <c r="I235" s="54" t="s">
        <v>324</v>
      </c>
      <c r="J235" s="24">
        <v>1</v>
      </c>
    </row>
    <row r="236" spans="1:10">
      <c r="A236" s="35">
        <f t="shared" si="13"/>
        <v>1342</v>
      </c>
      <c r="B236" s="35" t="str">
        <f>INDEX(武器技能设计!$B$2:$B$17,MATCH(D236,武器技能设计!$A$2:$A$17,0))</f>
        <v>追踪导弹</v>
      </c>
      <c r="C236" s="46" t="s">
        <v>27</v>
      </c>
      <c r="D236" s="35">
        <f t="shared" si="10"/>
        <v>13</v>
      </c>
      <c r="E236" s="35">
        <f t="shared" si="14"/>
        <v>1</v>
      </c>
      <c r="F236" s="46" t="s">
        <v>382</v>
      </c>
      <c r="G236" s="35" t="s">
        <v>358</v>
      </c>
      <c r="H236" s="24">
        <v>0.5</v>
      </c>
      <c r="I236" s="54" t="s">
        <v>359</v>
      </c>
      <c r="J236" s="24">
        <v>1</v>
      </c>
    </row>
    <row r="237" spans="1:10">
      <c r="A237" s="35">
        <f t="shared" si="13"/>
        <v>1351</v>
      </c>
      <c r="B237" s="35" t="str">
        <f>INDEX(武器技能设计!$B$2:$B$17,MATCH(D237,武器技能设计!$A$2:$A$17,0))</f>
        <v>追踪导弹</v>
      </c>
      <c r="C237" s="47" t="s">
        <v>107</v>
      </c>
      <c r="D237" s="35">
        <f t="shared" si="10"/>
        <v>13</v>
      </c>
      <c r="E237" s="35">
        <f t="shared" si="14"/>
        <v>1</v>
      </c>
      <c r="F237" s="47" t="s">
        <v>416</v>
      </c>
      <c r="G237" s="35" t="s">
        <v>324</v>
      </c>
      <c r="H237" s="24">
        <v>5</v>
      </c>
      <c r="I237" s="54" t="s">
        <v>335</v>
      </c>
      <c r="J237" s="24">
        <v>1</v>
      </c>
    </row>
    <row r="238" s="36" customFormat="1" ht="14.55" spans="1:37">
      <c r="A238" s="72">
        <f t="shared" si="13"/>
        <v>1352</v>
      </c>
      <c r="B238" s="72" t="str">
        <f>INDEX(武器技能设计!$B$2:$B$17,MATCH(D238,武器技能设计!$A$2:$A$17,0))</f>
        <v>追踪导弹</v>
      </c>
      <c r="C238" s="48" t="s">
        <v>108</v>
      </c>
      <c r="D238" s="72">
        <f t="shared" si="10"/>
        <v>13</v>
      </c>
      <c r="E238" s="72">
        <f t="shared" si="14"/>
        <v>1</v>
      </c>
      <c r="F238" s="48" t="s">
        <v>417</v>
      </c>
      <c r="G238" s="72" t="s">
        <v>324</v>
      </c>
      <c r="H238" s="79">
        <v>2</v>
      </c>
      <c r="I238" s="86" t="s">
        <v>324</v>
      </c>
      <c r="J238" s="79">
        <v>3</v>
      </c>
      <c r="O238" s="87"/>
      <c r="R238" s="81"/>
      <c r="X238" s="87"/>
      <c r="Y238" s="81"/>
      <c r="Z238" s="87"/>
      <c r="AA238" s="81"/>
      <c r="AF238" s="87"/>
      <c r="AG238" s="87"/>
      <c r="AH238" s="87"/>
      <c r="AI238" s="87"/>
      <c r="AJ238" s="87"/>
      <c r="AK238" s="81"/>
    </row>
    <row r="239" spans="1:10">
      <c r="A239" s="78">
        <f t="shared" si="13"/>
        <v>1401</v>
      </c>
      <c r="B239" s="78" t="str">
        <f>INDEX(武器技能设计!$B$2:$B$17,MATCH(D239,武器技能设计!$A$2:$A$17,0))</f>
        <v>电磁炮</v>
      </c>
      <c r="C239" s="76" t="s">
        <v>355</v>
      </c>
      <c r="D239" s="78">
        <f t="shared" si="10"/>
        <v>14</v>
      </c>
      <c r="E239" s="78">
        <f t="shared" si="14"/>
        <v>99</v>
      </c>
      <c r="F239" s="41" t="s">
        <v>356</v>
      </c>
      <c r="G239" s="78" t="s">
        <v>324</v>
      </c>
      <c r="H239" s="80">
        <v>0.25</v>
      </c>
      <c r="I239" s="88"/>
      <c r="J239" s="80"/>
    </row>
    <row r="240" spans="1:10">
      <c r="A240" s="35">
        <f t="shared" si="13"/>
        <v>1402</v>
      </c>
      <c r="B240" s="35" t="str">
        <f>INDEX(武器技能设计!$B$2:$B$17,MATCH(D240,武器技能设计!$A$2:$A$17,0))</f>
        <v>电磁炮</v>
      </c>
      <c r="C240" s="41" t="s">
        <v>322</v>
      </c>
      <c r="D240" s="35">
        <f t="shared" si="10"/>
        <v>14</v>
      </c>
      <c r="E240" s="35">
        <f t="shared" si="14"/>
        <v>99</v>
      </c>
      <c r="F240" s="41" t="s">
        <v>357</v>
      </c>
      <c r="G240" s="35" t="s">
        <v>358</v>
      </c>
      <c r="H240" s="24">
        <v>0.15</v>
      </c>
      <c r="I240" s="54"/>
      <c r="J240" s="24"/>
    </row>
    <row r="241" spans="1:10">
      <c r="A241" s="35">
        <f t="shared" si="13"/>
        <v>1403</v>
      </c>
      <c r="B241" s="35" t="str">
        <f>INDEX(武器技能设计!$B$2:$B$17,MATCH(D241,武器技能设计!$A$2:$A$17,0))</f>
        <v>电磁炮</v>
      </c>
      <c r="C241" s="41" t="s">
        <v>360</v>
      </c>
      <c r="D241" s="35">
        <f t="shared" si="10"/>
        <v>14</v>
      </c>
      <c r="E241" s="35">
        <f t="shared" si="14"/>
        <v>99</v>
      </c>
      <c r="F241" s="41" t="s">
        <v>361</v>
      </c>
      <c r="G241" s="35" t="s">
        <v>230</v>
      </c>
      <c r="H241" s="24">
        <v>0.1</v>
      </c>
      <c r="I241" s="54"/>
      <c r="J241" s="24"/>
    </row>
    <row r="242" spans="1:10">
      <c r="A242" s="35">
        <f t="shared" ref="A242:A259" si="15">A225+100</f>
        <v>1411</v>
      </c>
      <c r="B242" s="35" t="str">
        <f>INDEX(武器技能设计!$B$2:$B$17,MATCH(D242,武器技能设计!$A$2:$A$17,0))</f>
        <v>电磁炮</v>
      </c>
      <c r="C242" s="44" t="s">
        <v>355</v>
      </c>
      <c r="D242" s="35">
        <f t="shared" si="10"/>
        <v>14</v>
      </c>
      <c r="E242" s="35">
        <f t="shared" si="14"/>
        <v>99</v>
      </c>
      <c r="F242" s="44" t="s">
        <v>362</v>
      </c>
      <c r="G242" s="35" t="s">
        <v>324</v>
      </c>
      <c r="H242" s="24">
        <v>0.5</v>
      </c>
      <c r="I242" s="54"/>
      <c r="J242" s="24"/>
    </row>
    <row r="243" spans="1:10">
      <c r="A243" s="35">
        <f t="shared" si="15"/>
        <v>1412</v>
      </c>
      <c r="B243" s="35" t="str">
        <f>INDEX(武器技能设计!$B$2:$B$17,MATCH(D243,武器技能设计!$A$2:$A$17,0))</f>
        <v>电磁炮</v>
      </c>
      <c r="C243" s="44" t="s">
        <v>322</v>
      </c>
      <c r="D243" s="35">
        <f t="shared" si="10"/>
        <v>14</v>
      </c>
      <c r="E243" s="35">
        <f t="shared" si="14"/>
        <v>99</v>
      </c>
      <c r="F243" s="44" t="s">
        <v>363</v>
      </c>
      <c r="G243" s="35" t="s">
        <v>358</v>
      </c>
      <c r="H243" s="24">
        <v>0.25</v>
      </c>
      <c r="I243" s="54"/>
      <c r="J243" s="24"/>
    </row>
    <row r="244" spans="1:10">
      <c r="A244" s="35">
        <f t="shared" si="15"/>
        <v>1413</v>
      </c>
      <c r="B244" s="35" t="str">
        <f>INDEX(武器技能设计!$B$2:$B$17,MATCH(D244,武器技能设计!$A$2:$A$17,0))</f>
        <v>电磁炮</v>
      </c>
      <c r="C244" s="44" t="s">
        <v>359</v>
      </c>
      <c r="D244" s="35">
        <f t="shared" si="10"/>
        <v>14</v>
      </c>
      <c r="E244" s="35">
        <f t="shared" si="14"/>
        <v>99</v>
      </c>
      <c r="F244" s="44" t="s">
        <v>364</v>
      </c>
      <c r="G244" s="35" t="s">
        <v>359</v>
      </c>
      <c r="H244" s="24">
        <v>0.5</v>
      </c>
      <c r="I244" s="54"/>
      <c r="J244" s="24"/>
    </row>
    <row r="245" spans="1:10">
      <c r="A245" s="35">
        <f t="shared" si="15"/>
        <v>1414</v>
      </c>
      <c r="B245" s="35" t="str">
        <f>INDEX(武器技能设计!$B$2:$B$17,MATCH(D245,武器技能设计!$A$2:$A$17,0))</f>
        <v>电磁炮</v>
      </c>
      <c r="C245" s="44" t="s">
        <v>360</v>
      </c>
      <c r="D245" s="35">
        <f t="shared" ref="D245:D308" si="16">D228+1</f>
        <v>14</v>
      </c>
      <c r="E245" s="35">
        <f t="shared" si="14"/>
        <v>99</v>
      </c>
      <c r="F245" s="44" t="s">
        <v>365</v>
      </c>
      <c r="G245" s="35" t="s">
        <v>230</v>
      </c>
      <c r="H245" s="24">
        <v>0.2</v>
      </c>
      <c r="I245" s="54"/>
      <c r="J245" s="24"/>
    </row>
    <row r="246" spans="1:10">
      <c r="A246" s="35">
        <f t="shared" si="15"/>
        <v>1421</v>
      </c>
      <c r="B246" s="35" t="str">
        <f>INDEX(武器技能设计!$B$2:$B$17,MATCH(D246,武器技能设计!$A$2:$A$17,0))</f>
        <v>电磁炮</v>
      </c>
      <c r="C246" s="46" t="s">
        <v>355</v>
      </c>
      <c r="D246" s="35">
        <f t="shared" si="16"/>
        <v>14</v>
      </c>
      <c r="E246" s="35">
        <f t="shared" si="14"/>
        <v>99</v>
      </c>
      <c r="F246" s="46" t="s">
        <v>366</v>
      </c>
      <c r="G246" s="35" t="s">
        <v>324</v>
      </c>
      <c r="H246" s="24">
        <v>1</v>
      </c>
      <c r="I246" s="54"/>
      <c r="J246" s="24"/>
    </row>
    <row r="247" spans="1:10">
      <c r="A247" s="35">
        <f t="shared" si="15"/>
        <v>1422</v>
      </c>
      <c r="B247" s="35" t="str">
        <f>INDEX(武器技能设计!$B$2:$B$17,MATCH(D247,武器技能设计!$A$2:$A$17,0))</f>
        <v>电磁炮</v>
      </c>
      <c r="C247" s="46" t="s">
        <v>322</v>
      </c>
      <c r="D247" s="35">
        <f t="shared" si="16"/>
        <v>14</v>
      </c>
      <c r="E247" s="35">
        <f t="shared" si="14"/>
        <v>99</v>
      </c>
      <c r="F247" s="46" t="s">
        <v>367</v>
      </c>
      <c r="G247" s="35" t="s">
        <v>358</v>
      </c>
      <c r="H247" s="24">
        <v>0.5</v>
      </c>
      <c r="I247" s="54"/>
      <c r="J247" s="24"/>
    </row>
    <row r="248" spans="1:10">
      <c r="A248" s="35">
        <f t="shared" si="15"/>
        <v>1423</v>
      </c>
      <c r="B248" s="35" t="str">
        <f>INDEX(武器技能设计!$B$2:$B$17,MATCH(D248,武器技能设计!$A$2:$A$17,0))</f>
        <v>电磁炮</v>
      </c>
      <c r="C248" s="46" t="s">
        <v>359</v>
      </c>
      <c r="D248" s="35">
        <f t="shared" si="16"/>
        <v>14</v>
      </c>
      <c r="E248" s="35">
        <f t="shared" si="14"/>
        <v>99</v>
      </c>
      <c r="F248" s="46" t="s">
        <v>368</v>
      </c>
      <c r="G248" s="35" t="s">
        <v>359</v>
      </c>
      <c r="H248" s="24">
        <v>1</v>
      </c>
      <c r="I248" s="54"/>
      <c r="J248" s="24"/>
    </row>
    <row r="249" spans="1:10">
      <c r="A249" s="35">
        <f t="shared" si="15"/>
        <v>1424</v>
      </c>
      <c r="B249" s="35" t="str">
        <f>INDEX(武器技能设计!$B$2:$B$17,MATCH(D249,武器技能设计!$A$2:$A$17,0))</f>
        <v>电磁炮</v>
      </c>
      <c r="C249" s="46" t="s">
        <v>360</v>
      </c>
      <c r="D249" s="35">
        <f t="shared" si="16"/>
        <v>14</v>
      </c>
      <c r="E249" s="35">
        <f t="shared" si="14"/>
        <v>99</v>
      </c>
      <c r="F249" s="46" t="s">
        <v>369</v>
      </c>
      <c r="G249" s="35" t="s">
        <v>230</v>
      </c>
      <c r="H249" s="24">
        <v>0.3</v>
      </c>
      <c r="I249" s="54"/>
      <c r="J249" s="24"/>
    </row>
    <row r="250" spans="1:10">
      <c r="A250" s="35">
        <f t="shared" si="15"/>
        <v>1431</v>
      </c>
      <c r="B250" s="35" t="str">
        <f>INDEX(武器技能设计!$B$2:$B$17,MATCH(D250,武器技能设计!$A$2:$A$17,0))</f>
        <v>电磁炮</v>
      </c>
      <c r="C250" s="44" t="s">
        <v>110</v>
      </c>
      <c r="D250" s="35">
        <f t="shared" si="16"/>
        <v>14</v>
      </c>
      <c r="E250" s="35">
        <f t="shared" si="14"/>
        <v>1</v>
      </c>
      <c r="F250" s="44" t="s">
        <v>418</v>
      </c>
      <c r="G250" s="35" t="s">
        <v>136</v>
      </c>
      <c r="H250" s="24">
        <v>2</v>
      </c>
      <c r="I250" s="54"/>
      <c r="J250" s="24"/>
    </row>
    <row r="251" spans="1:10">
      <c r="A251" s="35">
        <f t="shared" si="15"/>
        <v>1432</v>
      </c>
      <c r="B251" s="35" t="str">
        <f>INDEX(武器技能设计!$B$2:$B$17,MATCH(D251,武器技能设计!$A$2:$A$17,0))</f>
        <v>电磁炮</v>
      </c>
      <c r="C251" s="44" t="s">
        <v>111</v>
      </c>
      <c r="D251" s="35">
        <f t="shared" si="16"/>
        <v>14</v>
      </c>
      <c r="E251" s="35">
        <f t="shared" si="14"/>
        <v>1</v>
      </c>
      <c r="F251" s="44" t="s">
        <v>410</v>
      </c>
      <c r="G251" s="35" t="s">
        <v>324</v>
      </c>
      <c r="H251" s="24">
        <v>0.25</v>
      </c>
      <c r="I251" s="54"/>
      <c r="J251" s="24"/>
    </row>
    <row r="252" spans="1:10">
      <c r="A252" s="35">
        <f t="shared" si="15"/>
        <v>1441</v>
      </c>
      <c r="B252" s="35" t="str">
        <f>INDEX(武器技能设计!$B$2:$B$17,MATCH(D252,武器技能设计!$A$2:$A$17,0))</f>
        <v>电磁炮</v>
      </c>
      <c r="C252" s="46" t="s">
        <v>72</v>
      </c>
      <c r="D252" s="35">
        <f t="shared" si="16"/>
        <v>14</v>
      </c>
      <c r="E252" s="35">
        <f t="shared" si="14"/>
        <v>1</v>
      </c>
      <c r="F252" s="46" t="s">
        <v>72</v>
      </c>
      <c r="G252" s="35" t="s">
        <v>331</v>
      </c>
      <c r="H252" s="24">
        <v>1</v>
      </c>
      <c r="I252" s="54" t="s">
        <v>324</v>
      </c>
      <c r="J252" s="24">
        <v>1</v>
      </c>
    </row>
    <row r="253" spans="1:10">
      <c r="A253" s="35">
        <f t="shared" si="15"/>
        <v>1442</v>
      </c>
      <c r="B253" s="35" t="str">
        <f>INDEX(武器技能设计!$B$2:$B$17,MATCH(D253,武器技能设计!$A$2:$A$17,0))</f>
        <v>电磁炮</v>
      </c>
      <c r="C253" s="46" t="s">
        <v>27</v>
      </c>
      <c r="D253" s="35">
        <f t="shared" si="16"/>
        <v>14</v>
      </c>
      <c r="E253" s="35">
        <v>1</v>
      </c>
      <c r="F253" s="46" t="s">
        <v>382</v>
      </c>
      <c r="G253" s="35" t="s">
        <v>358</v>
      </c>
      <c r="H253" s="24">
        <v>0.5</v>
      </c>
      <c r="I253" s="54" t="s">
        <v>359</v>
      </c>
      <c r="J253" s="24">
        <v>1</v>
      </c>
    </row>
    <row r="254" spans="1:10">
      <c r="A254" s="35">
        <f t="shared" si="15"/>
        <v>1451</v>
      </c>
      <c r="B254" s="35" t="str">
        <f>INDEX(武器技能设计!$B$2:$B$17,MATCH(D254,武器技能设计!$A$2:$A$17,0))</f>
        <v>电磁炮</v>
      </c>
      <c r="C254" s="47" t="s">
        <v>112</v>
      </c>
      <c r="D254" s="35">
        <f t="shared" si="16"/>
        <v>14</v>
      </c>
      <c r="E254" s="35">
        <f t="shared" si="14"/>
        <v>1</v>
      </c>
      <c r="F254" s="47" t="s">
        <v>419</v>
      </c>
      <c r="G254" s="35" t="s">
        <v>136</v>
      </c>
      <c r="H254" s="24">
        <v>4</v>
      </c>
      <c r="I254" s="54" t="s">
        <v>334</v>
      </c>
      <c r="J254" s="24">
        <v>1</v>
      </c>
    </row>
    <row r="255" s="36" customFormat="1" ht="14.55" spans="1:37">
      <c r="A255" s="72">
        <f t="shared" si="15"/>
        <v>1452</v>
      </c>
      <c r="B255" s="72" t="str">
        <f>INDEX(武器技能设计!$B$2:$B$17,MATCH(D255,武器技能设计!$A$2:$A$17,0))</f>
        <v>电磁炮</v>
      </c>
      <c r="C255" s="48" t="s">
        <v>420</v>
      </c>
      <c r="D255" s="72">
        <f t="shared" si="16"/>
        <v>14</v>
      </c>
      <c r="E255" s="72">
        <f t="shared" si="14"/>
        <v>1</v>
      </c>
      <c r="F255" s="48" t="s">
        <v>420</v>
      </c>
      <c r="G255" s="72" t="s">
        <v>324</v>
      </c>
      <c r="H255" s="79">
        <v>2</v>
      </c>
      <c r="I255" s="86" t="s">
        <v>324</v>
      </c>
      <c r="J255" s="79">
        <v>3</v>
      </c>
      <c r="O255" s="87"/>
      <c r="R255" s="81"/>
      <c r="X255" s="87"/>
      <c r="Y255" s="81"/>
      <c r="Z255" s="87"/>
      <c r="AA255" s="81"/>
      <c r="AF255" s="87"/>
      <c r="AG255" s="87"/>
      <c r="AH255" s="87"/>
      <c r="AI255" s="87"/>
      <c r="AJ255" s="87"/>
      <c r="AK255" s="81"/>
    </row>
    <row r="256" spans="1:10">
      <c r="A256" s="78">
        <f t="shared" si="15"/>
        <v>1501</v>
      </c>
      <c r="B256" s="78" t="str">
        <f>INDEX(武器技能设计!$B$2:$B$17,MATCH(D256,武器技能设计!$A$2:$A$17,0))</f>
        <v>冰冻手雷</v>
      </c>
      <c r="C256" s="76" t="s">
        <v>355</v>
      </c>
      <c r="D256" s="78">
        <f t="shared" si="16"/>
        <v>15</v>
      </c>
      <c r="E256" s="78">
        <f t="shared" si="14"/>
        <v>99</v>
      </c>
      <c r="F256" s="41" t="s">
        <v>356</v>
      </c>
      <c r="G256" s="78" t="s">
        <v>324</v>
      </c>
      <c r="H256" s="80">
        <v>0.25</v>
      </c>
      <c r="I256" s="88"/>
      <c r="J256" s="80"/>
    </row>
    <row r="257" spans="1:10">
      <c r="A257" s="35">
        <f t="shared" si="15"/>
        <v>1502</v>
      </c>
      <c r="B257" s="35" t="str">
        <f>INDEX(武器技能设计!$B$2:$B$17,MATCH(D257,武器技能设计!$A$2:$A$17,0))</f>
        <v>冰冻手雷</v>
      </c>
      <c r="C257" s="41" t="s">
        <v>322</v>
      </c>
      <c r="D257" s="35">
        <f t="shared" si="16"/>
        <v>15</v>
      </c>
      <c r="E257" s="35">
        <f t="shared" si="14"/>
        <v>99</v>
      </c>
      <c r="F257" s="41" t="s">
        <v>357</v>
      </c>
      <c r="G257" s="35" t="s">
        <v>358</v>
      </c>
      <c r="H257" s="24">
        <v>0.15</v>
      </c>
      <c r="I257" s="54"/>
      <c r="J257" s="24"/>
    </row>
    <row r="258" spans="1:10">
      <c r="A258" s="35">
        <f t="shared" si="15"/>
        <v>1503</v>
      </c>
      <c r="B258" s="35" t="str">
        <f>INDEX(武器技能设计!$B$2:$B$17,MATCH(D258,武器技能设计!$A$2:$A$17,0))</f>
        <v>冰冻手雷</v>
      </c>
      <c r="C258" s="41" t="s">
        <v>360</v>
      </c>
      <c r="D258" s="35">
        <f t="shared" si="16"/>
        <v>15</v>
      </c>
      <c r="E258" s="35">
        <f t="shared" si="14"/>
        <v>99</v>
      </c>
      <c r="F258" s="41" t="s">
        <v>361</v>
      </c>
      <c r="G258" s="35" t="s">
        <v>230</v>
      </c>
      <c r="H258" s="24">
        <v>0.1</v>
      </c>
      <c r="I258" s="54"/>
      <c r="J258" s="24"/>
    </row>
    <row r="259" spans="1:10">
      <c r="A259" s="35">
        <f t="shared" si="15"/>
        <v>1511</v>
      </c>
      <c r="B259" s="35" t="str">
        <f>INDEX(武器技能设计!$B$2:$B$17,MATCH(D259,武器技能设计!$A$2:$A$17,0))</f>
        <v>冰冻手雷</v>
      </c>
      <c r="C259" s="44" t="s">
        <v>355</v>
      </c>
      <c r="D259" s="35">
        <f t="shared" si="16"/>
        <v>15</v>
      </c>
      <c r="E259" s="35">
        <f t="shared" si="14"/>
        <v>99</v>
      </c>
      <c r="F259" s="44" t="s">
        <v>362</v>
      </c>
      <c r="G259" s="35" t="s">
        <v>324</v>
      </c>
      <c r="H259" s="24">
        <v>0.5</v>
      </c>
      <c r="I259" s="54"/>
      <c r="J259" s="24"/>
    </row>
    <row r="260" spans="1:10">
      <c r="A260" s="35">
        <f t="shared" ref="A260:A272" si="17">A243+100</f>
        <v>1512</v>
      </c>
      <c r="B260" s="35" t="str">
        <f>INDEX(武器技能设计!$B$2:$B$17,MATCH(D260,武器技能设计!$A$2:$A$17,0))</f>
        <v>冰冻手雷</v>
      </c>
      <c r="C260" s="44" t="s">
        <v>322</v>
      </c>
      <c r="D260" s="35">
        <f t="shared" si="16"/>
        <v>15</v>
      </c>
      <c r="E260" s="35">
        <f t="shared" si="14"/>
        <v>99</v>
      </c>
      <c r="F260" s="44" t="s">
        <v>363</v>
      </c>
      <c r="G260" s="35" t="s">
        <v>358</v>
      </c>
      <c r="H260" s="24">
        <v>0.25</v>
      </c>
      <c r="I260" s="54"/>
      <c r="J260" s="24"/>
    </row>
    <row r="261" spans="1:10">
      <c r="A261" s="35">
        <f t="shared" si="17"/>
        <v>1513</v>
      </c>
      <c r="B261" s="35" t="str">
        <f>INDEX(武器技能设计!$B$2:$B$17,MATCH(D261,武器技能设计!$A$2:$A$17,0))</f>
        <v>冰冻手雷</v>
      </c>
      <c r="C261" s="44" t="s">
        <v>359</v>
      </c>
      <c r="D261" s="35">
        <f t="shared" si="16"/>
        <v>15</v>
      </c>
      <c r="E261" s="35">
        <f t="shared" si="14"/>
        <v>99</v>
      </c>
      <c r="F261" s="44" t="s">
        <v>364</v>
      </c>
      <c r="G261" s="35" t="s">
        <v>359</v>
      </c>
      <c r="H261" s="24">
        <v>0.5</v>
      </c>
      <c r="I261" s="54"/>
      <c r="J261" s="24"/>
    </row>
    <row r="262" spans="1:10">
      <c r="A262" s="35">
        <f t="shared" si="17"/>
        <v>1514</v>
      </c>
      <c r="B262" s="35" t="str">
        <f>INDEX(武器技能设计!$B$2:$B$17,MATCH(D262,武器技能设计!$A$2:$A$17,0))</f>
        <v>冰冻手雷</v>
      </c>
      <c r="C262" s="44" t="s">
        <v>360</v>
      </c>
      <c r="D262" s="35">
        <f t="shared" si="16"/>
        <v>15</v>
      </c>
      <c r="E262" s="35">
        <f t="shared" si="14"/>
        <v>99</v>
      </c>
      <c r="F262" s="44" t="s">
        <v>365</v>
      </c>
      <c r="G262" s="35" t="s">
        <v>230</v>
      </c>
      <c r="H262" s="24">
        <v>0.2</v>
      </c>
      <c r="I262" s="54"/>
      <c r="J262" s="24"/>
    </row>
    <row r="263" spans="1:10">
      <c r="A263" s="35">
        <f t="shared" si="17"/>
        <v>1521</v>
      </c>
      <c r="B263" s="35" t="str">
        <f>INDEX(武器技能设计!$B$2:$B$17,MATCH(D263,武器技能设计!$A$2:$A$17,0))</f>
        <v>冰冻手雷</v>
      </c>
      <c r="C263" s="46" t="s">
        <v>355</v>
      </c>
      <c r="D263" s="35">
        <f t="shared" si="16"/>
        <v>15</v>
      </c>
      <c r="E263" s="35">
        <f t="shared" si="14"/>
        <v>99</v>
      </c>
      <c r="F263" s="46" t="s">
        <v>366</v>
      </c>
      <c r="G263" s="35" t="s">
        <v>324</v>
      </c>
      <c r="H263" s="24">
        <v>1</v>
      </c>
      <c r="I263" s="54"/>
      <c r="J263" s="24"/>
    </row>
    <row r="264" spans="1:10">
      <c r="A264" s="35">
        <f t="shared" si="17"/>
        <v>1522</v>
      </c>
      <c r="B264" s="35" t="str">
        <f>INDEX(武器技能设计!$B$2:$B$17,MATCH(D264,武器技能设计!$A$2:$A$17,0))</f>
        <v>冰冻手雷</v>
      </c>
      <c r="C264" s="46" t="s">
        <v>322</v>
      </c>
      <c r="D264" s="35">
        <f t="shared" si="16"/>
        <v>15</v>
      </c>
      <c r="E264" s="35">
        <f t="shared" si="14"/>
        <v>99</v>
      </c>
      <c r="F264" s="46" t="s">
        <v>367</v>
      </c>
      <c r="G264" s="35" t="s">
        <v>358</v>
      </c>
      <c r="H264" s="24">
        <v>0.5</v>
      </c>
      <c r="I264" s="54"/>
      <c r="J264" s="24"/>
    </row>
    <row r="265" spans="1:10">
      <c r="A265" s="35">
        <f t="shared" si="17"/>
        <v>1523</v>
      </c>
      <c r="B265" s="35" t="str">
        <f>INDEX(武器技能设计!$B$2:$B$17,MATCH(D265,武器技能设计!$A$2:$A$17,0))</f>
        <v>冰冻手雷</v>
      </c>
      <c r="C265" s="46" t="s">
        <v>359</v>
      </c>
      <c r="D265" s="35">
        <f t="shared" si="16"/>
        <v>15</v>
      </c>
      <c r="E265" s="35">
        <f t="shared" si="14"/>
        <v>99</v>
      </c>
      <c r="F265" s="46" t="s">
        <v>368</v>
      </c>
      <c r="G265" s="35" t="s">
        <v>359</v>
      </c>
      <c r="H265" s="24">
        <v>1</v>
      </c>
      <c r="I265" s="54"/>
      <c r="J265" s="24"/>
    </row>
    <row r="266" spans="1:10">
      <c r="A266" s="35">
        <f t="shared" si="17"/>
        <v>1524</v>
      </c>
      <c r="B266" s="35" t="str">
        <f>INDEX(武器技能设计!$B$2:$B$17,MATCH(D266,武器技能设计!$A$2:$A$17,0))</f>
        <v>冰冻手雷</v>
      </c>
      <c r="C266" s="46" t="s">
        <v>360</v>
      </c>
      <c r="D266" s="35">
        <f t="shared" si="16"/>
        <v>15</v>
      </c>
      <c r="E266" s="35">
        <f t="shared" si="14"/>
        <v>99</v>
      </c>
      <c r="F266" s="46" t="s">
        <v>369</v>
      </c>
      <c r="G266" s="35" t="s">
        <v>230</v>
      </c>
      <c r="H266" s="24">
        <v>0.3</v>
      </c>
      <c r="I266" s="54"/>
      <c r="J266" s="24"/>
    </row>
    <row r="267" spans="1:10">
      <c r="A267" s="35">
        <f t="shared" si="17"/>
        <v>1531</v>
      </c>
      <c r="B267" s="35" t="str">
        <f>INDEX(武器技能设计!$B$2:$B$17,MATCH(D267,武器技能设计!$A$2:$A$17,0))</f>
        <v>冰冻手雷</v>
      </c>
      <c r="C267" s="44" t="s">
        <v>105</v>
      </c>
      <c r="D267" s="35">
        <f t="shared" si="16"/>
        <v>15</v>
      </c>
      <c r="E267" s="35">
        <f t="shared" si="14"/>
        <v>1</v>
      </c>
      <c r="F267" s="44" t="s">
        <v>105</v>
      </c>
      <c r="G267" s="35" t="s">
        <v>326</v>
      </c>
      <c r="H267" s="24">
        <v>1</v>
      </c>
      <c r="I267" s="54"/>
      <c r="J267" s="24"/>
    </row>
    <row r="268" spans="1:10">
      <c r="A268" s="35">
        <f t="shared" si="17"/>
        <v>1532</v>
      </c>
      <c r="B268" s="35" t="str">
        <f>INDEX(武器技能设计!$B$2:$B$17,MATCH(D268,武器技能设计!$A$2:$A$17,0))</f>
        <v>冰冻手雷</v>
      </c>
      <c r="C268" s="44" t="s">
        <v>116</v>
      </c>
      <c r="D268" s="35">
        <f t="shared" si="16"/>
        <v>15</v>
      </c>
      <c r="E268" s="35">
        <f t="shared" si="14"/>
        <v>1</v>
      </c>
      <c r="F268" s="44" t="s">
        <v>421</v>
      </c>
      <c r="G268" s="35" t="s">
        <v>324</v>
      </c>
      <c r="H268" s="24">
        <v>0.25</v>
      </c>
      <c r="I268" s="54"/>
      <c r="J268" s="24"/>
    </row>
    <row r="269" spans="1:10">
      <c r="A269" s="35">
        <f t="shared" si="17"/>
        <v>1541</v>
      </c>
      <c r="B269" s="35" t="str">
        <f>INDEX(武器技能设计!$B$2:$B$17,MATCH(D269,武器技能设计!$A$2:$A$17,0))</f>
        <v>冰冻手雷</v>
      </c>
      <c r="C269" s="46" t="s">
        <v>52</v>
      </c>
      <c r="D269" s="35">
        <f t="shared" si="16"/>
        <v>15</v>
      </c>
      <c r="E269" s="35">
        <f t="shared" si="14"/>
        <v>1</v>
      </c>
      <c r="F269" s="46" t="s">
        <v>52</v>
      </c>
      <c r="G269" s="35" t="s">
        <v>136</v>
      </c>
      <c r="H269" s="24">
        <v>1</v>
      </c>
      <c r="I269" s="54" t="s">
        <v>324</v>
      </c>
      <c r="J269" s="24">
        <v>1</v>
      </c>
    </row>
    <row r="270" spans="1:10">
      <c r="A270" s="35">
        <f t="shared" si="17"/>
        <v>1542</v>
      </c>
      <c r="B270" s="35" t="str">
        <f>INDEX(武器技能设计!$B$2:$B$17,MATCH(D270,武器技能设计!$A$2:$A$17,0))</f>
        <v>冰冻手雷</v>
      </c>
      <c r="C270" s="46" t="s">
        <v>117</v>
      </c>
      <c r="D270" s="35">
        <f t="shared" si="16"/>
        <v>15</v>
      </c>
      <c r="E270" s="35">
        <f t="shared" si="14"/>
        <v>1</v>
      </c>
      <c r="F270" s="46" t="s">
        <v>117</v>
      </c>
      <c r="G270" s="35" t="s">
        <v>324</v>
      </c>
      <c r="H270" s="24">
        <v>4</v>
      </c>
      <c r="I270" s="54"/>
      <c r="J270" s="24"/>
    </row>
    <row r="271" spans="1:10">
      <c r="A271" s="35">
        <f t="shared" si="17"/>
        <v>1551</v>
      </c>
      <c r="B271" s="35" t="str">
        <f>INDEX(武器技能设计!$B$2:$B$17,MATCH(D271,武器技能设计!$A$2:$A$17,0))</f>
        <v>冰冻手雷</v>
      </c>
      <c r="C271" s="47" t="s">
        <v>118</v>
      </c>
      <c r="D271" s="35">
        <f t="shared" si="16"/>
        <v>15</v>
      </c>
      <c r="E271" s="35">
        <f t="shared" si="14"/>
        <v>1</v>
      </c>
      <c r="F271" s="47" t="s">
        <v>422</v>
      </c>
      <c r="G271" s="35" t="s">
        <v>324</v>
      </c>
      <c r="H271" s="24">
        <v>3</v>
      </c>
      <c r="I271" s="54" t="s">
        <v>324</v>
      </c>
      <c r="J271" s="24">
        <v>1</v>
      </c>
    </row>
    <row r="272" s="36" customFormat="1" ht="14.55" spans="1:37">
      <c r="A272" s="72">
        <f t="shared" si="17"/>
        <v>1552</v>
      </c>
      <c r="B272" s="72" t="str">
        <f>INDEX(武器技能设计!$B$2:$B$17,MATCH(D272,武器技能设计!$A$2:$A$17,0))</f>
        <v>冰冻手雷</v>
      </c>
      <c r="C272" s="48" t="s">
        <v>119</v>
      </c>
      <c r="D272" s="72">
        <f t="shared" si="16"/>
        <v>15</v>
      </c>
      <c r="E272" s="72">
        <f t="shared" si="14"/>
        <v>1</v>
      </c>
      <c r="F272" s="48" t="s">
        <v>423</v>
      </c>
      <c r="G272" s="72" t="s">
        <v>331</v>
      </c>
      <c r="H272" s="79">
        <v>2</v>
      </c>
      <c r="I272" s="86" t="s">
        <v>334</v>
      </c>
      <c r="J272" s="79">
        <v>2</v>
      </c>
      <c r="O272" s="87"/>
      <c r="R272" s="81"/>
      <c r="X272" s="87"/>
      <c r="Y272" s="81"/>
      <c r="Z272" s="87"/>
      <c r="AA272" s="81"/>
      <c r="AF272" s="87"/>
      <c r="AG272" s="87"/>
      <c r="AH272" s="87"/>
      <c r="AI272" s="87"/>
      <c r="AJ272" s="87"/>
      <c r="AK272" s="81"/>
    </row>
    <row r="273" spans="1:10">
      <c r="A273" s="78">
        <f t="shared" ref="A273:A336" si="18">A256+100</f>
        <v>1601</v>
      </c>
      <c r="B273" s="78" t="str">
        <f>INDEX(武器技能设计!$B$2:$B$17,MATCH(D273,武器技能设计!$A$2:$A$17,0))</f>
        <v>战术爪刀</v>
      </c>
      <c r="C273" s="76" t="s">
        <v>355</v>
      </c>
      <c r="D273" s="78">
        <f t="shared" si="16"/>
        <v>16</v>
      </c>
      <c r="E273" s="78">
        <f t="shared" si="14"/>
        <v>99</v>
      </c>
      <c r="F273" s="41" t="s">
        <v>356</v>
      </c>
      <c r="G273" s="78" t="s">
        <v>324</v>
      </c>
      <c r="H273" s="80">
        <v>0.25</v>
      </c>
      <c r="I273" s="88"/>
      <c r="J273" s="80"/>
    </row>
    <row r="274" spans="1:10">
      <c r="A274" s="35">
        <f t="shared" si="18"/>
        <v>1602</v>
      </c>
      <c r="B274" s="35" t="str">
        <f>INDEX(武器技能设计!$B$2:$B$17,MATCH(D274,武器技能设计!$A$2:$A$17,0))</f>
        <v>战术爪刀</v>
      </c>
      <c r="C274" s="41" t="s">
        <v>322</v>
      </c>
      <c r="D274" s="35">
        <f t="shared" si="16"/>
        <v>16</v>
      </c>
      <c r="E274" s="35">
        <f t="shared" si="14"/>
        <v>99</v>
      </c>
      <c r="F274" s="41" t="s">
        <v>357</v>
      </c>
      <c r="G274" s="35" t="s">
        <v>358</v>
      </c>
      <c r="H274" s="24">
        <v>0.15</v>
      </c>
      <c r="I274" s="54"/>
      <c r="J274" s="24"/>
    </row>
    <row r="275" spans="1:10">
      <c r="A275" s="35">
        <f t="shared" si="18"/>
        <v>1603</v>
      </c>
      <c r="B275" s="35" t="str">
        <f>INDEX(武器技能设计!$B$2:$B$17,MATCH(D275,武器技能设计!$A$2:$A$17,0))</f>
        <v>战术爪刀</v>
      </c>
      <c r="C275" s="41" t="s">
        <v>360</v>
      </c>
      <c r="D275" s="35">
        <f t="shared" si="16"/>
        <v>16</v>
      </c>
      <c r="E275" s="35">
        <f t="shared" si="14"/>
        <v>99</v>
      </c>
      <c r="F275" s="41" t="s">
        <v>361</v>
      </c>
      <c r="G275" s="35" t="s">
        <v>230</v>
      </c>
      <c r="H275" s="24">
        <v>0.1</v>
      </c>
      <c r="I275" s="54"/>
      <c r="J275" s="24"/>
    </row>
    <row r="276" spans="1:10">
      <c r="A276" s="35">
        <f t="shared" si="18"/>
        <v>1611</v>
      </c>
      <c r="B276" s="35" t="str">
        <f>INDEX(武器技能设计!$B$2:$B$17,MATCH(D276,武器技能设计!$A$2:$A$17,0))</f>
        <v>战术爪刀</v>
      </c>
      <c r="C276" s="44" t="s">
        <v>355</v>
      </c>
      <c r="D276" s="35">
        <f t="shared" si="16"/>
        <v>16</v>
      </c>
      <c r="E276" s="35">
        <f t="shared" si="14"/>
        <v>99</v>
      </c>
      <c r="F276" s="44" t="s">
        <v>362</v>
      </c>
      <c r="G276" s="35" t="s">
        <v>324</v>
      </c>
      <c r="H276" s="24">
        <v>0.5</v>
      </c>
      <c r="I276" s="54"/>
      <c r="J276" s="24"/>
    </row>
    <row r="277" spans="1:10">
      <c r="A277" s="35">
        <f t="shared" si="18"/>
        <v>1612</v>
      </c>
      <c r="B277" s="35" t="str">
        <f>INDEX(武器技能设计!$B$2:$B$17,MATCH(D277,武器技能设计!$A$2:$A$17,0))</f>
        <v>战术爪刀</v>
      </c>
      <c r="C277" s="44" t="s">
        <v>322</v>
      </c>
      <c r="D277" s="35">
        <f t="shared" si="16"/>
        <v>16</v>
      </c>
      <c r="E277" s="35">
        <f t="shared" si="14"/>
        <v>99</v>
      </c>
      <c r="F277" s="44" t="s">
        <v>363</v>
      </c>
      <c r="G277" s="35" t="s">
        <v>358</v>
      </c>
      <c r="H277" s="24">
        <v>0.25</v>
      </c>
      <c r="I277" s="54"/>
      <c r="J277" s="24"/>
    </row>
    <row r="278" spans="1:10">
      <c r="A278" s="35">
        <f t="shared" si="18"/>
        <v>1613</v>
      </c>
      <c r="B278" s="35" t="str">
        <f>INDEX(武器技能设计!$B$2:$B$17,MATCH(D278,武器技能设计!$A$2:$A$17,0))</f>
        <v>战术爪刀</v>
      </c>
      <c r="C278" s="44" t="s">
        <v>359</v>
      </c>
      <c r="D278" s="35">
        <f t="shared" si="16"/>
        <v>16</v>
      </c>
      <c r="E278" s="35">
        <f t="shared" si="14"/>
        <v>99</v>
      </c>
      <c r="F278" s="44" t="s">
        <v>364</v>
      </c>
      <c r="G278" s="35" t="s">
        <v>359</v>
      </c>
      <c r="H278" s="24">
        <v>0.5</v>
      </c>
      <c r="I278" s="54"/>
      <c r="J278" s="24"/>
    </row>
    <row r="279" spans="1:10">
      <c r="A279" s="35">
        <f t="shared" si="18"/>
        <v>1614</v>
      </c>
      <c r="B279" s="35" t="str">
        <f>INDEX(武器技能设计!$B$2:$B$17,MATCH(D279,武器技能设计!$A$2:$A$17,0))</f>
        <v>战术爪刀</v>
      </c>
      <c r="C279" s="44" t="s">
        <v>360</v>
      </c>
      <c r="D279" s="35">
        <f t="shared" si="16"/>
        <v>16</v>
      </c>
      <c r="E279" s="35">
        <f t="shared" si="14"/>
        <v>99</v>
      </c>
      <c r="F279" s="44" t="s">
        <v>365</v>
      </c>
      <c r="G279" s="35" t="s">
        <v>230</v>
      </c>
      <c r="H279" s="24">
        <v>0.2</v>
      </c>
      <c r="I279" s="54"/>
      <c r="J279" s="24"/>
    </row>
    <row r="280" spans="1:10">
      <c r="A280" s="35">
        <f t="shared" si="18"/>
        <v>1621</v>
      </c>
      <c r="B280" s="35" t="str">
        <f>INDEX(武器技能设计!$B$2:$B$17,MATCH(D280,武器技能设计!$A$2:$A$17,0))</f>
        <v>战术爪刀</v>
      </c>
      <c r="C280" s="46" t="s">
        <v>355</v>
      </c>
      <c r="D280" s="35">
        <f t="shared" si="16"/>
        <v>16</v>
      </c>
      <c r="E280" s="35">
        <f t="shared" si="14"/>
        <v>99</v>
      </c>
      <c r="F280" s="46" t="s">
        <v>366</v>
      </c>
      <c r="G280" s="35" t="s">
        <v>324</v>
      </c>
      <c r="H280" s="24">
        <v>1</v>
      </c>
      <c r="I280" s="54"/>
      <c r="J280" s="24"/>
    </row>
    <row r="281" spans="1:10">
      <c r="A281" s="35">
        <f t="shared" si="18"/>
        <v>1622</v>
      </c>
      <c r="B281" s="35" t="str">
        <f>INDEX(武器技能设计!$B$2:$B$17,MATCH(D281,武器技能设计!$A$2:$A$17,0))</f>
        <v>战术爪刀</v>
      </c>
      <c r="C281" s="46" t="s">
        <v>322</v>
      </c>
      <c r="D281" s="35">
        <f t="shared" si="16"/>
        <v>16</v>
      </c>
      <c r="E281" s="35">
        <f t="shared" si="14"/>
        <v>99</v>
      </c>
      <c r="F281" s="46" t="s">
        <v>367</v>
      </c>
      <c r="G281" s="35" t="s">
        <v>358</v>
      </c>
      <c r="H281" s="24">
        <v>0.5</v>
      </c>
      <c r="I281" s="54"/>
      <c r="J281" s="24"/>
    </row>
    <row r="282" spans="1:10">
      <c r="A282" s="35">
        <f t="shared" si="18"/>
        <v>1623</v>
      </c>
      <c r="B282" s="35" t="str">
        <f>INDEX(武器技能设计!$B$2:$B$17,MATCH(D282,武器技能设计!$A$2:$A$17,0))</f>
        <v>战术爪刀</v>
      </c>
      <c r="C282" s="46" t="s">
        <v>359</v>
      </c>
      <c r="D282" s="35">
        <f t="shared" si="16"/>
        <v>16</v>
      </c>
      <c r="E282" s="35">
        <f t="shared" si="14"/>
        <v>99</v>
      </c>
      <c r="F282" s="46" t="s">
        <v>368</v>
      </c>
      <c r="G282" s="35" t="s">
        <v>359</v>
      </c>
      <c r="H282" s="24">
        <v>1</v>
      </c>
      <c r="I282" s="54"/>
      <c r="J282" s="24"/>
    </row>
    <row r="283" spans="1:10">
      <c r="A283" s="35">
        <f t="shared" si="18"/>
        <v>1624</v>
      </c>
      <c r="B283" s="35" t="str">
        <f>INDEX(武器技能设计!$B$2:$B$17,MATCH(D283,武器技能设计!$A$2:$A$17,0))</f>
        <v>战术爪刀</v>
      </c>
      <c r="C283" s="46" t="s">
        <v>360</v>
      </c>
      <c r="D283" s="35">
        <f t="shared" si="16"/>
        <v>16</v>
      </c>
      <c r="E283" s="35">
        <f t="shared" si="14"/>
        <v>99</v>
      </c>
      <c r="F283" s="46" t="s">
        <v>369</v>
      </c>
      <c r="G283" s="35" t="s">
        <v>230</v>
      </c>
      <c r="H283" s="24">
        <v>0.3</v>
      </c>
      <c r="I283" s="54"/>
      <c r="J283" s="24"/>
    </row>
    <row r="284" spans="1:10">
      <c r="A284" s="35">
        <f t="shared" si="18"/>
        <v>1631</v>
      </c>
      <c r="B284" s="35" t="str">
        <f>INDEX(武器技能设计!$B$2:$B$17,MATCH(D284,武器技能设计!$A$2:$A$17,0))</f>
        <v>战术爪刀</v>
      </c>
      <c r="C284" s="44" t="s">
        <v>57</v>
      </c>
      <c r="D284" s="35">
        <f t="shared" si="16"/>
        <v>16</v>
      </c>
      <c r="E284" s="35">
        <f t="shared" si="14"/>
        <v>1</v>
      </c>
      <c r="F284" s="44" t="s">
        <v>57</v>
      </c>
      <c r="G284" s="35" t="s">
        <v>299</v>
      </c>
      <c r="H284" s="24">
        <v>1</v>
      </c>
      <c r="I284" s="54"/>
      <c r="J284" s="24"/>
    </row>
    <row r="285" spans="1:10">
      <c r="A285" s="35">
        <f t="shared" si="18"/>
        <v>1632</v>
      </c>
      <c r="B285" s="35" t="str">
        <f>INDEX(武器技能设计!$B$2:$B$17,MATCH(D285,武器技能设计!$A$2:$A$17,0))</f>
        <v>战术爪刀</v>
      </c>
      <c r="C285" s="44" t="s">
        <v>123</v>
      </c>
      <c r="D285" s="35">
        <f t="shared" si="16"/>
        <v>16</v>
      </c>
      <c r="E285" s="35">
        <f t="shared" si="14"/>
        <v>1</v>
      </c>
      <c r="F285" s="44" t="s">
        <v>381</v>
      </c>
      <c r="G285" s="35" t="s">
        <v>341</v>
      </c>
      <c r="H285" s="24">
        <v>1</v>
      </c>
      <c r="I285" s="54"/>
      <c r="J285" s="24"/>
    </row>
    <row r="286" spans="1:10">
      <c r="A286" s="35">
        <f t="shared" si="18"/>
        <v>1641</v>
      </c>
      <c r="B286" s="35" t="str">
        <f>INDEX(武器技能设计!$B$2:$B$17,MATCH(D286,武器技能设计!$A$2:$A$17,0))</f>
        <v>战术爪刀</v>
      </c>
      <c r="C286" s="46" t="s">
        <v>124</v>
      </c>
      <c r="D286" s="35">
        <f t="shared" si="16"/>
        <v>16</v>
      </c>
      <c r="E286" s="35">
        <f t="shared" si="14"/>
        <v>1</v>
      </c>
      <c r="F286" s="46" t="s">
        <v>124</v>
      </c>
      <c r="G286" s="35" t="s">
        <v>359</v>
      </c>
      <c r="H286" s="24">
        <v>4</v>
      </c>
      <c r="I286" s="54"/>
      <c r="J286" s="24"/>
    </row>
    <row r="287" spans="1:10">
      <c r="A287" s="35">
        <f t="shared" si="18"/>
        <v>1642</v>
      </c>
      <c r="B287" s="35" t="str">
        <f>INDEX(武器技能设计!$B$2:$B$17,MATCH(D287,武器技能设计!$A$2:$A$17,0))</f>
        <v>战术爪刀</v>
      </c>
      <c r="C287" s="46" t="s">
        <v>125</v>
      </c>
      <c r="D287" s="35">
        <f t="shared" si="16"/>
        <v>16</v>
      </c>
      <c r="E287" s="35">
        <f t="shared" si="14"/>
        <v>1</v>
      </c>
      <c r="F287" s="46" t="s">
        <v>424</v>
      </c>
      <c r="G287" s="35" t="s">
        <v>359</v>
      </c>
      <c r="H287" s="24">
        <v>2</v>
      </c>
      <c r="I287" s="54" t="s">
        <v>358</v>
      </c>
      <c r="J287" s="24">
        <v>0.5</v>
      </c>
    </row>
    <row r="288" spans="1:10">
      <c r="A288" s="35">
        <f t="shared" si="18"/>
        <v>1651</v>
      </c>
      <c r="B288" s="35" t="str">
        <f>INDEX(武器技能设计!$B$2:$B$17,MATCH(D288,武器技能设计!$A$2:$A$17,0))</f>
        <v>战术爪刀</v>
      </c>
      <c r="C288" s="47" t="s">
        <v>39</v>
      </c>
      <c r="D288" s="35">
        <f t="shared" si="16"/>
        <v>16</v>
      </c>
      <c r="E288" s="35">
        <f t="shared" si="14"/>
        <v>1</v>
      </c>
      <c r="F288" s="47" t="s">
        <v>39</v>
      </c>
      <c r="G288" s="35" t="s">
        <v>358</v>
      </c>
      <c r="H288" s="24">
        <v>1</v>
      </c>
      <c r="I288" s="54" t="s">
        <v>359</v>
      </c>
      <c r="J288" s="24">
        <v>3</v>
      </c>
    </row>
    <row r="289" s="36" customFormat="1" ht="14.55" spans="1:37">
      <c r="A289" s="72">
        <f t="shared" si="18"/>
        <v>1652</v>
      </c>
      <c r="B289" s="72" t="str">
        <f>INDEX(武器技能设计!$B$2:$B$17,MATCH(D289,武器技能设计!$A$2:$A$17,0))</f>
        <v>战术爪刀</v>
      </c>
      <c r="C289" s="48" t="s">
        <v>80</v>
      </c>
      <c r="D289" s="72">
        <f t="shared" si="16"/>
        <v>16</v>
      </c>
      <c r="E289" s="72">
        <f t="shared" si="14"/>
        <v>1</v>
      </c>
      <c r="F289" s="48" t="s">
        <v>80</v>
      </c>
      <c r="G289" s="72" t="s">
        <v>358</v>
      </c>
      <c r="H289" s="79">
        <v>1</v>
      </c>
      <c r="I289" s="86" t="s">
        <v>359</v>
      </c>
      <c r="J289" s="79">
        <v>4</v>
      </c>
      <c r="O289" s="87"/>
      <c r="R289" s="81"/>
      <c r="X289" s="87"/>
      <c r="Y289" s="81"/>
      <c r="Z289" s="87"/>
      <c r="AA289" s="81"/>
      <c r="AF289" s="87"/>
      <c r="AG289" s="87"/>
      <c r="AH289" s="87"/>
      <c r="AI289" s="87"/>
      <c r="AJ289" s="87"/>
      <c r="AK289" s="81"/>
    </row>
    <row r="290" spans="1:10">
      <c r="A290" s="78">
        <f t="shared" si="18"/>
        <v>1701</v>
      </c>
      <c r="B290" s="78" t="str">
        <f>INDEX(武器技能设计!$B$2:$B$18,MATCH(D290,武器技能设计!$A$2:$A$18,0))</f>
        <v>合金战刃</v>
      </c>
      <c r="C290" s="76" t="s">
        <v>355</v>
      </c>
      <c r="D290" s="78">
        <f t="shared" si="16"/>
        <v>17</v>
      </c>
      <c r="E290" s="78">
        <f t="shared" si="14"/>
        <v>99</v>
      </c>
      <c r="F290" s="41" t="s">
        <v>356</v>
      </c>
      <c r="G290" s="78" t="s">
        <v>324</v>
      </c>
      <c r="H290" s="80">
        <v>0.25</v>
      </c>
      <c r="I290" s="88"/>
      <c r="J290" s="80"/>
    </row>
    <row r="291" spans="1:10">
      <c r="A291" s="35">
        <f t="shared" si="18"/>
        <v>1702</v>
      </c>
      <c r="B291" s="78" t="str">
        <f>INDEX(武器技能设计!$B$2:$B$18,MATCH(D291,武器技能设计!$A$2:$A$18,0))</f>
        <v>合金战刃</v>
      </c>
      <c r="C291" s="41" t="s">
        <v>322</v>
      </c>
      <c r="D291" s="35">
        <f t="shared" si="16"/>
        <v>17</v>
      </c>
      <c r="E291" s="35">
        <f t="shared" si="14"/>
        <v>99</v>
      </c>
      <c r="F291" s="41" t="s">
        <v>357</v>
      </c>
      <c r="G291" s="35" t="s">
        <v>358</v>
      </c>
      <c r="H291" s="24">
        <v>0.15</v>
      </c>
      <c r="I291" s="54"/>
      <c r="J291" s="24"/>
    </row>
    <row r="292" spans="1:10">
      <c r="A292" s="35">
        <f t="shared" si="18"/>
        <v>1703</v>
      </c>
      <c r="B292" s="78" t="str">
        <f>INDEX(武器技能设计!$B$2:$B$18,MATCH(D292,武器技能设计!$A$2:$A$18,0))</f>
        <v>合金战刃</v>
      </c>
      <c r="C292" s="41" t="s">
        <v>360</v>
      </c>
      <c r="D292" s="35">
        <f t="shared" si="16"/>
        <v>17</v>
      </c>
      <c r="E292" s="35">
        <f t="shared" si="14"/>
        <v>99</v>
      </c>
      <c r="F292" s="41" t="s">
        <v>361</v>
      </c>
      <c r="G292" s="35" t="s">
        <v>230</v>
      </c>
      <c r="H292" s="24">
        <v>0.1</v>
      </c>
      <c r="I292" s="54"/>
      <c r="J292" s="24"/>
    </row>
    <row r="293" spans="1:10">
      <c r="A293" s="35">
        <f t="shared" si="18"/>
        <v>1711</v>
      </c>
      <c r="B293" s="78" t="str">
        <f>INDEX(武器技能设计!$B$2:$B$18,MATCH(D293,武器技能设计!$A$2:$A$18,0))</f>
        <v>合金战刃</v>
      </c>
      <c r="C293" s="44" t="s">
        <v>355</v>
      </c>
      <c r="D293" s="35">
        <f t="shared" si="16"/>
        <v>17</v>
      </c>
      <c r="E293" s="35">
        <f t="shared" ref="E293:E356" si="19">E276</f>
        <v>99</v>
      </c>
      <c r="F293" s="44" t="s">
        <v>362</v>
      </c>
      <c r="G293" s="35" t="s">
        <v>324</v>
      </c>
      <c r="H293" s="24">
        <v>0.5</v>
      </c>
      <c r="I293" s="54"/>
      <c r="J293" s="24"/>
    </row>
    <row r="294" spans="1:10">
      <c r="A294" s="35">
        <f t="shared" si="18"/>
        <v>1712</v>
      </c>
      <c r="B294" s="78" t="str">
        <f>INDEX(武器技能设计!$B$2:$B$18,MATCH(D294,武器技能设计!$A$2:$A$18,0))</f>
        <v>合金战刃</v>
      </c>
      <c r="C294" s="44" t="s">
        <v>322</v>
      </c>
      <c r="D294" s="35">
        <f t="shared" si="16"/>
        <v>17</v>
      </c>
      <c r="E294" s="35">
        <f t="shared" si="19"/>
        <v>99</v>
      </c>
      <c r="F294" s="44" t="s">
        <v>363</v>
      </c>
      <c r="G294" s="35" t="s">
        <v>358</v>
      </c>
      <c r="H294" s="24">
        <v>0.25</v>
      </c>
      <c r="I294" s="54"/>
      <c r="J294" s="24"/>
    </row>
    <row r="295" spans="1:10">
      <c r="A295" s="35">
        <f t="shared" si="18"/>
        <v>1713</v>
      </c>
      <c r="B295" s="78" t="str">
        <f>INDEX(武器技能设计!$B$2:$B$18,MATCH(D295,武器技能设计!$A$2:$A$18,0))</f>
        <v>合金战刃</v>
      </c>
      <c r="C295" s="44" t="s">
        <v>359</v>
      </c>
      <c r="D295" s="35">
        <f t="shared" si="16"/>
        <v>17</v>
      </c>
      <c r="E295" s="35">
        <f t="shared" si="19"/>
        <v>99</v>
      </c>
      <c r="F295" s="44" t="s">
        <v>364</v>
      </c>
      <c r="G295" s="35" t="s">
        <v>359</v>
      </c>
      <c r="H295" s="24">
        <v>0.5</v>
      </c>
      <c r="I295" s="54"/>
      <c r="J295" s="24"/>
    </row>
    <row r="296" spans="1:10">
      <c r="A296" s="35">
        <f t="shared" si="18"/>
        <v>1714</v>
      </c>
      <c r="B296" s="78" t="str">
        <f>INDEX(武器技能设计!$B$2:$B$18,MATCH(D296,武器技能设计!$A$2:$A$18,0))</f>
        <v>合金战刃</v>
      </c>
      <c r="C296" s="44" t="s">
        <v>360</v>
      </c>
      <c r="D296" s="35">
        <f t="shared" si="16"/>
        <v>17</v>
      </c>
      <c r="E296" s="35">
        <f t="shared" si="19"/>
        <v>99</v>
      </c>
      <c r="F296" s="44" t="s">
        <v>365</v>
      </c>
      <c r="G296" s="35" t="s">
        <v>230</v>
      </c>
      <c r="H296" s="24">
        <v>0.2</v>
      </c>
      <c r="I296" s="54"/>
      <c r="J296" s="24"/>
    </row>
    <row r="297" spans="1:10">
      <c r="A297" s="35">
        <f t="shared" si="18"/>
        <v>1721</v>
      </c>
      <c r="B297" s="78" t="str">
        <f>INDEX(武器技能设计!$B$2:$B$18,MATCH(D297,武器技能设计!$A$2:$A$18,0))</f>
        <v>合金战刃</v>
      </c>
      <c r="C297" s="46" t="s">
        <v>355</v>
      </c>
      <c r="D297" s="35">
        <f t="shared" si="16"/>
        <v>17</v>
      </c>
      <c r="E297" s="35">
        <f t="shared" si="19"/>
        <v>99</v>
      </c>
      <c r="F297" s="46" t="s">
        <v>366</v>
      </c>
      <c r="G297" s="35" t="s">
        <v>324</v>
      </c>
      <c r="H297" s="24">
        <v>1</v>
      </c>
      <c r="I297" s="54"/>
      <c r="J297" s="24"/>
    </row>
    <row r="298" spans="1:10">
      <c r="A298" s="35">
        <f t="shared" si="18"/>
        <v>1722</v>
      </c>
      <c r="B298" s="78" t="str">
        <f>INDEX(武器技能设计!$B$2:$B$18,MATCH(D298,武器技能设计!$A$2:$A$18,0))</f>
        <v>合金战刃</v>
      </c>
      <c r="C298" s="46" t="s">
        <v>322</v>
      </c>
      <c r="D298" s="35">
        <f t="shared" si="16"/>
        <v>17</v>
      </c>
      <c r="E298" s="35">
        <f t="shared" si="19"/>
        <v>99</v>
      </c>
      <c r="F298" s="46" t="s">
        <v>367</v>
      </c>
      <c r="G298" s="35" t="s">
        <v>358</v>
      </c>
      <c r="H298" s="24">
        <v>0.5</v>
      </c>
      <c r="I298" s="54"/>
      <c r="J298" s="24"/>
    </row>
    <row r="299" spans="1:10">
      <c r="A299" s="35">
        <f t="shared" si="18"/>
        <v>1723</v>
      </c>
      <c r="B299" s="78" t="str">
        <f>INDEX(武器技能设计!$B$2:$B$18,MATCH(D299,武器技能设计!$A$2:$A$18,0))</f>
        <v>合金战刃</v>
      </c>
      <c r="C299" s="46" t="s">
        <v>359</v>
      </c>
      <c r="D299" s="35">
        <f t="shared" si="16"/>
        <v>17</v>
      </c>
      <c r="E299" s="35">
        <f t="shared" si="19"/>
        <v>99</v>
      </c>
      <c r="F299" s="46" t="s">
        <v>368</v>
      </c>
      <c r="G299" s="35" t="s">
        <v>359</v>
      </c>
      <c r="H299" s="24">
        <v>1</v>
      </c>
      <c r="I299" s="54"/>
      <c r="J299" s="24"/>
    </row>
    <row r="300" spans="1:10">
      <c r="A300" s="35">
        <f t="shared" si="18"/>
        <v>1724</v>
      </c>
      <c r="B300" s="78" t="str">
        <f>INDEX(武器技能设计!$B$2:$B$18,MATCH(D300,武器技能设计!$A$2:$A$18,0))</f>
        <v>合金战刃</v>
      </c>
      <c r="C300" s="46" t="s">
        <v>360</v>
      </c>
      <c r="D300" s="35">
        <f t="shared" si="16"/>
        <v>17</v>
      </c>
      <c r="E300" s="35">
        <f t="shared" si="19"/>
        <v>99</v>
      </c>
      <c r="F300" s="46" t="s">
        <v>369</v>
      </c>
      <c r="G300" s="35" t="s">
        <v>230</v>
      </c>
      <c r="H300" s="24">
        <v>0.3</v>
      </c>
      <c r="I300" s="54"/>
      <c r="J300" s="24"/>
    </row>
    <row r="301" spans="1:10">
      <c r="A301" s="35">
        <f t="shared" si="18"/>
        <v>1731</v>
      </c>
      <c r="B301" s="78" t="str">
        <f>INDEX(武器技能设计!$B$2:$B$18,MATCH(D301,武器技能设计!$A$2:$A$18,0))</f>
        <v>合金战刃</v>
      </c>
      <c r="C301" s="44" t="s">
        <v>128</v>
      </c>
      <c r="D301" s="35">
        <f t="shared" si="16"/>
        <v>17</v>
      </c>
      <c r="E301" s="35">
        <f t="shared" si="19"/>
        <v>1</v>
      </c>
      <c r="F301" s="44" t="s">
        <v>128</v>
      </c>
      <c r="G301" s="35">
        <v>5</v>
      </c>
      <c r="H301" s="24">
        <v>0.5</v>
      </c>
      <c r="I301" s="54"/>
      <c r="J301" s="24"/>
    </row>
    <row r="302" spans="1:10">
      <c r="A302" s="35">
        <f t="shared" si="18"/>
        <v>1732</v>
      </c>
      <c r="B302" s="78" t="str">
        <f>INDEX(武器技能设计!$B$2:$B$18,MATCH(D302,武器技能设计!$A$2:$A$18,0))</f>
        <v>合金战刃</v>
      </c>
      <c r="C302" s="44" t="s">
        <v>129</v>
      </c>
      <c r="D302" s="35">
        <f t="shared" si="16"/>
        <v>17</v>
      </c>
      <c r="E302" s="35">
        <f t="shared" si="19"/>
        <v>1</v>
      </c>
      <c r="F302" s="44" t="s">
        <v>129</v>
      </c>
      <c r="G302" s="35" t="s">
        <v>341</v>
      </c>
      <c r="H302" s="24">
        <v>1</v>
      </c>
      <c r="I302" s="54"/>
      <c r="J302" s="24"/>
    </row>
    <row r="303" spans="1:10">
      <c r="A303" s="35">
        <f t="shared" si="18"/>
        <v>1741</v>
      </c>
      <c r="B303" s="78" t="str">
        <f>INDEX(武器技能设计!$B$2:$B$18,MATCH(D303,武器技能设计!$A$2:$A$18,0))</f>
        <v>合金战刃</v>
      </c>
      <c r="C303" s="46" t="s">
        <v>130</v>
      </c>
      <c r="D303" s="35">
        <f t="shared" si="16"/>
        <v>17</v>
      </c>
      <c r="E303" s="35">
        <f t="shared" si="19"/>
        <v>1</v>
      </c>
      <c r="F303" s="46" t="s">
        <v>130</v>
      </c>
      <c r="G303" s="35" t="s">
        <v>359</v>
      </c>
      <c r="H303" s="24">
        <v>1</v>
      </c>
      <c r="I303" s="54" t="s">
        <v>343</v>
      </c>
      <c r="J303" s="24">
        <v>1</v>
      </c>
    </row>
    <row r="304" spans="1:10">
      <c r="A304" s="35">
        <f t="shared" si="18"/>
        <v>1742</v>
      </c>
      <c r="B304" s="78" t="str">
        <f>INDEX(武器技能设计!$B$2:$B$18,MATCH(D304,武器技能设计!$A$2:$A$18,0))</f>
        <v>合金战刃</v>
      </c>
      <c r="C304" s="46" t="s">
        <v>131</v>
      </c>
      <c r="D304" s="35">
        <f t="shared" si="16"/>
        <v>17</v>
      </c>
      <c r="E304" s="35">
        <f t="shared" si="19"/>
        <v>1</v>
      </c>
      <c r="F304" s="46" t="s">
        <v>131</v>
      </c>
      <c r="G304" s="35" t="s">
        <v>358</v>
      </c>
      <c r="H304" s="24">
        <v>0.5</v>
      </c>
      <c r="I304" s="54" t="s">
        <v>425</v>
      </c>
      <c r="J304" s="24">
        <v>1</v>
      </c>
    </row>
    <row r="305" spans="1:10">
      <c r="A305" s="35">
        <f t="shared" si="18"/>
        <v>1751</v>
      </c>
      <c r="B305" s="78" t="str">
        <f>INDEX(武器技能设计!$B$2:$B$18,MATCH(D305,武器技能设计!$A$2:$A$18,0))</f>
        <v>合金战刃</v>
      </c>
      <c r="C305" s="47" t="s">
        <v>132</v>
      </c>
      <c r="D305" s="35">
        <f t="shared" si="16"/>
        <v>17</v>
      </c>
      <c r="E305" s="35">
        <f t="shared" si="19"/>
        <v>1</v>
      </c>
      <c r="F305" s="47" t="s">
        <v>132</v>
      </c>
      <c r="G305" s="35" t="s">
        <v>324</v>
      </c>
      <c r="H305" s="24">
        <v>6</v>
      </c>
      <c r="I305" s="54"/>
      <c r="J305" s="24"/>
    </row>
    <row r="306" s="36" customFormat="1" ht="14.55" spans="1:37">
      <c r="A306" s="72">
        <f t="shared" si="18"/>
        <v>1752</v>
      </c>
      <c r="B306" s="78" t="str">
        <f>INDEX(武器技能设计!$B$2:$B$18,MATCH(D306,武器技能设计!$A$2:$A$18,0))</f>
        <v>合金战刃</v>
      </c>
      <c r="C306" s="48" t="s">
        <v>133</v>
      </c>
      <c r="D306" s="72">
        <f t="shared" si="16"/>
        <v>17</v>
      </c>
      <c r="E306" s="72">
        <f t="shared" si="19"/>
        <v>1</v>
      </c>
      <c r="F306" s="48" t="s">
        <v>133</v>
      </c>
      <c r="G306" s="72" t="s">
        <v>426</v>
      </c>
      <c r="H306" s="79">
        <v>5</v>
      </c>
      <c r="I306" s="86"/>
      <c r="J306" s="79"/>
      <c r="O306" s="87"/>
      <c r="R306" s="81"/>
      <c r="X306" s="87"/>
      <c r="Y306" s="81"/>
      <c r="Z306" s="87"/>
      <c r="AA306" s="81"/>
      <c r="AF306" s="87"/>
      <c r="AG306" s="87"/>
      <c r="AH306" s="87"/>
      <c r="AI306" s="87"/>
      <c r="AJ306" s="87"/>
      <c r="AK306" s="81"/>
    </row>
    <row r="307" spans="1:10">
      <c r="A307" s="78">
        <f t="shared" si="18"/>
        <v>1801</v>
      </c>
      <c r="B307" s="78" t="str">
        <f>INDEX(武器技能设计!$B$2:$B$19,MATCH(D307,武器技能设计!$A$2:$A$19,0))</f>
        <v>离散导弹</v>
      </c>
      <c r="C307" s="76" t="s">
        <v>355</v>
      </c>
      <c r="D307" s="78">
        <f t="shared" si="16"/>
        <v>18</v>
      </c>
      <c r="E307" s="78">
        <f t="shared" si="19"/>
        <v>99</v>
      </c>
      <c r="F307" s="41" t="s">
        <v>356</v>
      </c>
      <c r="G307" s="78" t="s">
        <v>324</v>
      </c>
      <c r="H307" s="80">
        <v>0.25</v>
      </c>
      <c r="I307" s="88"/>
      <c r="J307" s="80"/>
    </row>
    <row r="308" spans="1:10">
      <c r="A308" s="35">
        <f t="shared" si="18"/>
        <v>1802</v>
      </c>
      <c r="B308" s="78" t="str">
        <f>INDEX(武器技能设计!$B$2:$B$19,MATCH(D308,武器技能设计!$A$2:$A$19,0))</f>
        <v>离散导弹</v>
      </c>
      <c r="C308" s="41" t="s">
        <v>322</v>
      </c>
      <c r="D308" s="35">
        <f t="shared" si="16"/>
        <v>18</v>
      </c>
      <c r="E308" s="35">
        <f t="shared" si="19"/>
        <v>99</v>
      </c>
      <c r="F308" s="41" t="s">
        <v>357</v>
      </c>
      <c r="G308" s="35" t="s">
        <v>358</v>
      </c>
      <c r="H308" s="24">
        <v>0.15</v>
      </c>
      <c r="I308" s="54"/>
      <c r="J308" s="24"/>
    </row>
    <row r="309" spans="1:10">
      <c r="A309" s="35">
        <f t="shared" si="18"/>
        <v>1803</v>
      </c>
      <c r="B309" s="78" t="str">
        <f>INDEX(武器技能设计!$B$2:$B$19,MATCH(D309,武器技能设计!$A$2:$A$19,0))</f>
        <v>离散导弹</v>
      </c>
      <c r="C309" s="41" t="s">
        <v>360</v>
      </c>
      <c r="D309" s="35">
        <f t="shared" ref="D309:D357" si="20">D292+1</f>
        <v>18</v>
      </c>
      <c r="E309" s="35">
        <f t="shared" si="19"/>
        <v>99</v>
      </c>
      <c r="F309" s="41" t="s">
        <v>361</v>
      </c>
      <c r="G309" s="35" t="s">
        <v>230</v>
      </c>
      <c r="H309" s="24">
        <v>0.1</v>
      </c>
      <c r="I309" s="54"/>
      <c r="J309" s="24"/>
    </row>
    <row r="310" spans="1:10">
      <c r="A310" s="35">
        <f t="shared" si="18"/>
        <v>1811</v>
      </c>
      <c r="B310" s="78" t="str">
        <f>INDEX(武器技能设计!$B$2:$B$19,MATCH(D310,武器技能设计!$A$2:$A$19,0))</f>
        <v>离散导弹</v>
      </c>
      <c r="C310" s="44" t="s">
        <v>355</v>
      </c>
      <c r="D310" s="35">
        <f t="shared" si="20"/>
        <v>18</v>
      </c>
      <c r="E310" s="35">
        <f t="shared" si="19"/>
        <v>99</v>
      </c>
      <c r="F310" s="44" t="s">
        <v>362</v>
      </c>
      <c r="G310" s="35" t="s">
        <v>324</v>
      </c>
      <c r="H310" s="24">
        <v>0.5</v>
      </c>
      <c r="I310" s="54"/>
      <c r="J310" s="24"/>
    </row>
    <row r="311" spans="1:10">
      <c r="A311" s="35">
        <f t="shared" si="18"/>
        <v>1812</v>
      </c>
      <c r="B311" s="78" t="str">
        <f>INDEX(武器技能设计!$B$2:$B$19,MATCH(D311,武器技能设计!$A$2:$A$19,0))</f>
        <v>离散导弹</v>
      </c>
      <c r="C311" s="44" t="s">
        <v>322</v>
      </c>
      <c r="D311" s="35">
        <f t="shared" si="20"/>
        <v>18</v>
      </c>
      <c r="E311" s="35">
        <f t="shared" si="19"/>
        <v>99</v>
      </c>
      <c r="F311" s="44" t="s">
        <v>363</v>
      </c>
      <c r="G311" s="35" t="s">
        <v>358</v>
      </c>
      <c r="H311" s="24">
        <v>0.25</v>
      </c>
      <c r="I311" s="54"/>
      <c r="J311" s="24"/>
    </row>
    <row r="312" spans="1:10">
      <c r="A312" s="35">
        <f t="shared" si="18"/>
        <v>1813</v>
      </c>
      <c r="B312" s="78" t="str">
        <f>INDEX(武器技能设计!$B$2:$B$19,MATCH(D312,武器技能设计!$A$2:$A$19,0))</f>
        <v>离散导弹</v>
      </c>
      <c r="C312" s="44" t="s">
        <v>359</v>
      </c>
      <c r="D312" s="35">
        <f t="shared" si="20"/>
        <v>18</v>
      </c>
      <c r="E312" s="35">
        <f t="shared" si="19"/>
        <v>99</v>
      </c>
      <c r="F312" s="44" t="s">
        <v>364</v>
      </c>
      <c r="G312" s="35" t="s">
        <v>359</v>
      </c>
      <c r="H312" s="24">
        <v>0.5</v>
      </c>
      <c r="I312" s="54"/>
      <c r="J312" s="24"/>
    </row>
    <row r="313" spans="1:10">
      <c r="A313" s="35">
        <f t="shared" si="18"/>
        <v>1814</v>
      </c>
      <c r="B313" s="78" t="str">
        <f>INDEX(武器技能设计!$B$2:$B$19,MATCH(D313,武器技能设计!$A$2:$A$19,0))</f>
        <v>离散导弹</v>
      </c>
      <c r="C313" s="44" t="s">
        <v>360</v>
      </c>
      <c r="D313" s="35">
        <f t="shared" si="20"/>
        <v>18</v>
      </c>
      <c r="E313" s="35">
        <f t="shared" si="19"/>
        <v>99</v>
      </c>
      <c r="F313" s="44" t="s">
        <v>365</v>
      </c>
      <c r="G313" s="35" t="s">
        <v>230</v>
      </c>
      <c r="H313" s="24">
        <v>0.2</v>
      </c>
      <c r="I313" s="54"/>
      <c r="J313" s="24"/>
    </row>
    <row r="314" spans="1:10">
      <c r="A314" s="35">
        <f t="shared" si="18"/>
        <v>1821</v>
      </c>
      <c r="B314" s="78" t="str">
        <f>INDEX(武器技能设计!$B$2:$B$19,MATCH(D314,武器技能设计!$A$2:$A$19,0))</f>
        <v>离散导弹</v>
      </c>
      <c r="C314" s="46" t="s">
        <v>355</v>
      </c>
      <c r="D314" s="35">
        <f t="shared" si="20"/>
        <v>18</v>
      </c>
      <c r="E314" s="35">
        <f t="shared" si="19"/>
        <v>99</v>
      </c>
      <c r="F314" s="46" t="s">
        <v>366</v>
      </c>
      <c r="G314" s="35" t="s">
        <v>324</v>
      </c>
      <c r="H314" s="24">
        <v>1</v>
      </c>
      <c r="I314" s="54"/>
      <c r="J314" s="24"/>
    </row>
    <row r="315" spans="1:10">
      <c r="A315" s="35">
        <f t="shared" si="18"/>
        <v>1822</v>
      </c>
      <c r="B315" s="78" t="str">
        <f>INDEX(武器技能设计!$B$2:$B$19,MATCH(D315,武器技能设计!$A$2:$A$19,0))</f>
        <v>离散导弹</v>
      </c>
      <c r="C315" s="46" t="s">
        <v>322</v>
      </c>
      <c r="D315" s="35">
        <f t="shared" si="20"/>
        <v>18</v>
      </c>
      <c r="E315" s="35">
        <f t="shared" si="19"/>
        <v>99</v>
      </c>
      <c r="F315" s="46" t="s">
        <v>367</v>
      </c>
      <c r="G315" s="35" t="s">
        <v>358</v>
      </c>
      <c r="H315" s="24">
        <v>0.5</v>
      </c>
      <c r="I315" s="54"/>
      <c r="J315" s="24"/>
    </row>
    <row r="316" spans="1:10">
      <c r="A316" s="35">
        <f t="shared" si="18"/>
        <v>1823</v>
      </c>
      <c r="B316" s="78" t="str">
        <f>INDEX(武器技能设计!$B$2:$B$19,MATCH(D316,武器技能设计!$A$2:$A$19,0))</f>
        <v>离散导弹</v>
      </c>
      <c r="C316" s="46" t="s">
        <v>359</v>
      </c>
      <c r="D316" s="35">
        <f t="shared" si="20"/>
        <v>18</v>
      </c>
      <c r="E316" s="35">
        <f t="shared" si="19"/>
        <v>99</v>
      </c>
      <c r="F316" s="46" t="s">
        <v>368</v>
      </c>
      <c r="G316" s="35" t="s">
        <v>359</v>
      </c>
      <c r="H316" s="24">
        <v>1</v>
      </c>
      <c r="I316" s="54"/>
      <c r="J316" s="24"/>
    </row>
    <row r="317" spans="1:10">
      <c r="A317" s="35">
        <f t="shared" si="18"/>
        <v>1824</v>
      </c>
      <c r="B317" s="78" t="str">
        <f>INDEX(武器技能设计!$B$2:$B$19,MATCH(D317,武器技能设计!$A$2:$A$19,0))</f>
        <v>离散导弹</v>
      </c>
      <c r="C317" s="46" t="s">
        <v>360</v>
      </c>
      <c r="D317" s="35">
        <f t="shared" si="20"/>
        <v>18</v>
      </c>
      <c r="E317" s="35">
        <f t="shared" si="19"/>
        <v>99</v>
      </c>
      <c r="F317" s="46" t="s">
        <v>369</v>
      </c>
      <c r="G317" s="35" t="s">
        <v>230</v>
      </c>
      <c r="H317" s="24">
        <v>0.3</v>
      </c>
      <c r="I317" s="54"/>
      <c r="J317" s="24"/>
    </row>
    <row r="318" spans="1:10">
      <c r="A318" s="35">
        <f t="shared" si="18"/>
        <v>1831</v>
      </c>
      <c r="B318" s="78" t="str">
        <f>INDEX(武器技能设计!$B$2:$B$19,MATCH(D318,武器技能设计!$A$2:$A$19,0))</f>
        <v>离散导弹</v>
      </c>
      <c r="C318" s="44" t="s">
        <v>42</v>
      </c>
      <c r="D318" s="35">
        <f t="shared" si="20"/>
        <v>18</v>
      </c>
      <c r="E318" s="35">
        <f t="shared" si="19"/>
        <v>1</v>
      </c>
      <c r="F318" s="44" t="s">
        <v>42</v>
      </c>
      <c r="G318" s="35">
        <v>5</v>
      </c>
      <c r="H318" s="24">
        <v>0.5</v>
      </c>
      <c r="I318" s="54"/>
      <c r="J318" s="24"/>
    </row>
    <row r="319" spans="1:10">
      <c r="A319" s="35">
        <f t="shared" si="18"/>
        <v>1832</v>
      </c>
      <c r="B319" s="78" t="str">
        <f>INDEX(武器技能设计!$B$2:$B$19,MATCH(D319,武器技能设计!$A$2:$A$19,0))</f>
        <v>离散导弹</v>
      </c>
      <c r="C319" s="44" t="s">
        <v>136</v>
      </c>
      <c r="D319" s="35">
        <f t="shared" si="20"/>
        <v>18</v>
      </c>
      <c r="E319" s="35">
        <f t="shared" si="19"/>
        <v>1</v>
      </c>
      <c r="F319" s="44" t="s">
        <v>136</v>
      </c>
      <c r="G319" s="35" t="s">
        <v>341</v>
      </c>
      <c r="H319" s="24">
        <v>1</v>
      </c>
      <c r="I319" s="54"/>
      <c r="J319" s="24"/>
    </row>
    <row r="320" spans="1:10">
      <c r="A320" s="35">
        <f t="shared" si="18"/>
        <v>1841</v>
      </c>
      <c r="B320" s="78" t="str">
        <f>INDEX(武器技能设计!$B$2:$B$19,MATCH(D320,武器技能设计!$A$2:$A$19,0))</f>
        <v>离散导弹</v>
      </c>
      <c r="C320" s="46" t="s">
        <v>137</v>
      </c>
      <c r="D320" s="35">
        <f t="shared" si="20"/>
        <v>18</v>
      </c>
      <c r="E320" s="35">
        <f t="shared" si="19"/>
        <v>1</v>
      </c>
      <c r="F320" s="46" t="s">
        <v>137</v>
      </c>
      <c r="G320" s="35" t="s">
        <v>359</v>
      </c>
      <c r="H320" s="24">
        <v>1</v>
      </c>
      <c r="I320" s="54" t="s">
        <v>343</v>
      </c>
      <c r="J320" s="24">
        <v>1</v>
      </c>
    </row>
    <row r="321" spans="1:10">
      <c r="A321" s="35">
        <f t="shared" si="18"/>
        <v>1842</v>
      </c>
      <c r="B321" s="78" t="str">
        <f>INDEX(武器技能设计!$B$2:$B$19,MATCH(D321,武器技能设计!$A$2:$A$19,0))</f>
        <v>离散导弹</v>
      </c>
      <c r="C321" s="46" t="s">
        <v>26</v>
      </c>
      <c r="D321" s="35">
        <f t="shared" si="20"/>
        <v>18</v>
      </c>
      <c r="E321" s="35">
        <f t="shared" si="19"/>
        <v>1</v>
      </c>
      <c r="F321" s="46" t="s">
        <v>26</v>
      </c>
      <c r="G321" s="35" t="s">
        <v>358</v>
      </c>
      <c r="H321" s="24">
        <v>0.5</v>
      </c>
      <c r="I321" s="54" t="s">
        <v>425</v>
      </c>
      <c r="J321" s="24">
        <v>1</v>
      </c>
    </row>
    <row r="322" spans="1:10">
      <c r="A322" s="35">
        <f t="shared" si="18"/>
        <v>1851</v>
      </c>
      <c r="B322" s="78" t="str">
        <f>INDEX(武器技能设计!$B$2:$B$19,MATCH(D322,武器技能设计!$A$2:$A$19,0))</f>
        <v>离散导弹</v>
      </c>
      <c r="C322" s="47" t="s">
        <v>28</v>
      </c>
      <c r="D322" s="35">
        <f t="shared" si="20"/>
        <v>18</v>
      </c>
      <c r="E322" s="35">
        <f t="shared" si="19"/>
        <v>1</v>
      </c>
      <c r="F322" s="47" t="s">
        <v>28</v>
      </c>
      <c r="G322" s="35" t="s">
        <v>324</v>
      </c>
      <c r="H322" s="24">
        <v>6</v>
      </c>
      <c r="I322" s="54"/>
      <c r="J322" s="24"/>
    </row>
    <row r="323" s="36" customFormat="1" ht="14.55" spans="1:37">
      <c r="A323" s="72">
        <f t="shared" si="18"/>
        <v>1852</v>
      </c>
      <c r="B323" s="78" t="str">
        <f>INDEX(武器技能设计!$B$2:$B$19,MATCH(D323,武器技能设计!$A$2:$A$19,0))</f>
        <v>离散导弹</v>
      </c>
      <c r="C323" s="48" t="s">
        <v>138</v>
      </c>
      <c r="D323" s="72">
        <f t="shared" si="20"/>
        <v>18</v>
      </c>
      <c r="E323" s="72">
        <f t="shared" si="19"/>
        <v>1</v>
      </c>
      <c r="F323" s="48" t="s">
        <v>138</v>
      </c>
      <c r="G323" s="72" t="s">
        <v>426</v>
      </c>
      <c r="H323" s="79">
        <v>5</v>
      </c>
      <c r="I323" s="86"/>
      <c r="J323" s="79"/>
      <c r="O323" s="87"/>
      <c r="R323" s="81"/>
      <c r="X323" s="87"/>
      <c r="Y323" s="81"/>
      <c r="Z323" s="87"/>
      <c r="AA323" s="81"/>
      <c r="AF323" s="87"/>
      <c r="AG323" s="87"/>
      <c r="AH323" s="87"/>
      <c r="AI323" s="87"/>
      <c r="AJ323" s="87"/>
      <c r="AK323" s="81"/>
    </row>
    <row r="324" spans="1:10">
      <c r="A324" s="78">
        <f t="shared" si="18"/>
        <v>1901</v>
      </c>
      <c r="B324" s="78" t="str">
        <f>INDEX(武器技能设计!$B$2:$B$20,MATCH(D324,武器技能设计!$A$2:$A$20,0))</f>
        <v>雷神之锤</v>
      </c>
      <c r="C324" s="76" t="s">
        <v>355</v>
      </c>
      <c r="D324" s="78">
        <f t="shared" si="20"/>
        <v>19</v>
      </c>
      <c r="E324" s="78">
        <f t="shared" si="19"/>
        <v>99</v>
      </c>
      <c r="F324" s="41" t="s">
        <v>356</v>
      </c>
      <c r="G324" s="78" t="s">
        <v>324</v>
      </c>
      <c r="H324" s="80">
        <v>0.25</v>
      </c>
      <c r="I324" s="88"/>
      <c r="J324" s="80"/>
    </row>
    <row r="325" spans="1:10">
      <c r="A325" s="35">
        <f t="shared" si="18"/>
        <v>1902</v>
      </c>
      <c r="B325" s="78" t="str">
        <f>INDEX(武器技能设计!$B$2:$B$20,MATCH(D325,武器技能设计!$A$2:$A$20,0))</f>
        <v>雷神之锤</v>
      </c>
      <c r="C325" s="41" t="s">
        <v>322</v>
      </c>
      <c r="D325" s="35">
        <f t="shared" si="20"/>
        <v>19</v>
      </c>
      <c r="E325" s="35">
        <f t="shared" si="19"/>
        <v>99</v>
      </c>
      <c r="F325" s="41" t="s">
        <v>357</v>
      </c>
      <c r="G325" s="35" t="s">
        <v>358</v>
      </c>
      <c r="H325" s="24">
        <v>0.15</v>
      </c>
      <c r="I325" s="54"/>
      <c r="J325" s="24"/>
    </row>
    <row r="326" spans="1:10">
      <c r="A326" s="35">
        <f t="shared" si="18"/>
        <v>1903</v>
      </c>
      <c r="B326" s="78" t="str">
        <f>INDEX(武器技能设计!$B$2:$B$20,MATCH(D326,武器技能设计!$A$2:$A$20,0))</f>
        <v>雷神之锤</v>
      </c>
      <c r="C326" s="41" t="s">
        <v>360</v>
      </c>
      <c r="D326" s="35">
        <f t="shared" si="20"/>
        <v>19</v>
      </c>
      <c r="E326" s="35">
        <f t="shared" si="19"/>
        <v>99</v>
      </c>
      <c r="F326" s="41" t="s">
        <v>361</v>
      </c>
      <c r="G326" s="35" t="s">
        <v>230</v>
      </c>
      <c r="H326" s="24">
        <v>0.1</v>
      </c>
      <c r="I326" s="54"/>
      <c r="J326" s="24"/>
    </row>
    <row r="327" spans="1:10">
      <c r="A327" s="35">
        <f t="shared" si="18"/>
        <v>1911</v>
      </c>
      <c r="B327" s="78" t="str">
        <f>INDEX(武器技能设计!$B$2:$B$20,MATCH(D327,武器技能设计!$A$2:$A$20,0))</f>
        <v>雷神之锤</v>
      </c>
      <c r="C327" s="44" t="s">
        <v>355</v>
      </c>
      <c r="D327" s="35">
        <f t="shared" si="20"/>
        <v>19</v>
      </c>
      <c r="E327" s="35">
        <f t="shared" si="19"/>
        <v>99</v>
      </c>
      <c r="F327" s="44" t="s">
        <v>362</v>
      </c>
      <c r="G327" s="35" t="s">
        <v>324</v>
      </c>
      <c r="H327" s="24">
        <v>0.5</v>
      </c>
      <c r="I327" s="54"/>
      <c r="J327" s="24"/>
    </row>
    <row r="328" spans="1:10">
      <c r="A328" s="35">
        <f t="shared" si="18"/>
        <v>1912</v>
      </c>
      <c r="B328" s="78" t="str">
        <f>INDEX(武器技能设计!$B$2:$B$20,MATCH(D328,武器技能设计!$A$2:$A$20,0))</f>
        <v>雷神之锤</v>
      </c>
      <c r="C328" s="44" t="s">
        <v>322</v>
      </c>
      <c r="D328" s="35">
        <f t="shared" si="20"/>
        <v>19</v>
      </c>
      <c r="E328" s="35">
        <f t="shared" si="19"/>
        <v>99</v>
      </c>
      <c r="F328" s="44" t="s">
        <v>363</v>
      </c>
      <c r="G328" s="35" t="s">
        <v>358</v>
      </c>
      <c r="H328" s="24">
        <v>0.25</v>
      </c>
      <c r="I328" s="54"/>
      <c r="J328" s="24"/>
    </row>
    <row r="329" spans="1:10">
      <c r="A329" s="35">
        <f t="shared" si="18"/>
        <v>1913</v>
      </c>
      <c r="B329" s="78" t="str">
        <f>INDEX(武器技能设计!$B$2:$B$20,MATCH(D329,武器技能设计!$A$2:$A$20,0))</f>
        <v>雷神之锤</v>
      </c>
      <c r="C329" s="44" t="s">
        <v>359</v>
      </c>
      <c r="D329" s="35">
        <f t="shared" si="20"/>
        <v>19</v>
      </c>
      <c r="E329" s="35">
        <f t="shared" si="19"/>
        <v>99</v>
      </c>
      <c r="F329" s="44" t="s">
        <v>364</v>
      </c>
      <c r="G329" s="35" t="s">
        <v>359</v>
      </c>
      <c r="H329" s="24">
        <v>0.5</v>
      </c>
      <c r="I329" s="54"/>
      <c r="J329" s="24"/>
    </row>
    <row r="330" spans="1:10">
      <c r="A330" s="35">
        <f t="shared" si="18"/>
        <v>1914</v>
      </c>
      <c r="B330" s="78" t="str">
        <f>INDEX(武器技能设计!$B$2:$B$20,MATCH(D330,武器技能设计!$A$2:$A$20,0))</f>
        <v>雷神之锤</v>
      </c>
      <c r="C330" s="44" t="s">
        <v>360</v>
      </c>
      <c r="D330" s="35">
        <f t="shared" si="20"/>
        <v>19</v>
      </c>
      <c r="E330" s="35">
        <f t="shared" si="19"/>
        <v>99</v>
      </c>
      <c r="F330" s="44" t="s">
        <v>365</v>
      </c>
      <c r="G330" s="35" t="s">
        <v>230</v>
      </c>
      <c r="H330" s="24">
        <v>0.2</v>
      </c>
      <c r="I330" s="54"/>
      <c r="J330" s="24"/>
    </row>
    <row r="331" spans="1:10">
      <c r="A331" s="35">
        <f t="shared" si="18"/>
        <v>1921</v>
      </c>
      <c r="B331" s="78" t="str">
        <f>INDEX(武器技能设计!$B$2:$B$20,MATCH(D331,武器技能设计!$A$2:$A$20,0))</f>
        <v>雷神之锤</v>
      </c>
      <c r="C331" s="46" t="s">
        <v>355</v>
      </c>
      <c r="D331" s="35">
        <f t="shared" si="20"/>
        <v>19</v>
      </c>
      <c r="E331" s="35">
        <f t="shared" si="19"/>
        <v>99</v>
      </c>
      <c r="F331" s="46" t="s">
        <v>366</v>
      </c>
      <c r="G331" s="35" t="s">
        <v>324</v>
      </c>
      <c r="H331" s="24">
        <v>1</v>
      </c>
      <c r="I331" s="54"/>
      <c r="J331" s="24"/>
    </row>
    <row r="332" spans="1:10">
      <c r="A332" s="35">
        <f t="shared" si="18"/>
        <v>1922</v>
      </c>
      <c r="B332" s="78" t="str">
        <f>INDEX(武器技能设计!$B$2:$B$20,MATCH(D332,武器技能设计!$A$2:$A$20,0))</f>
        <v>雷神之锤</v>
      </c>
      <c r="C332" s="46" t="s">
        <v>322</v>
      </c>
      <c r="D332" s="35">
        <f t="shared" si="20"/>
        <v>19</v>
      </c>
      <c r="E332" s="35">
        <f t="shared" si="19"/>
        <v>99</v>
      </c>
      <c r="F332" s="46" t="s">
        <v>367</v>
      </c>
      <c r="G332" s="35" t="s">
        <v>358</v>
      </c>
      <c r="H332" s="24">
        <v>0.5</v>
      </c>
      <c r="I332" s="54"/>
      <c r="J332" s="24"/>
    </row>
    <row r="333" spans="1:10">
      <c r="A333" s="35">
        <f t="shared" si="18"/>
        <v>1923</v>
      </c>
      <c r="B333" s="78" t="str">
        <f>INDEX(武器技能设计!$B$2:$B$20,MATCH(D333,武器技能设计!$A$2:$A$20,0))</f>
        <v>雷神之锤</v>
      </c>
      <c r="C333" s="46" t="s">
        <v>359</v>
      </c>
      <c r="D333" s="35">
        <f t="shared" si="20"/>
        <v>19</v>
      </c>
      <c r="E333" s="35">
        <f t="shared" si="19"/>
        <v>99</v>
      </c>
      <c r="F333" s="46" t="s">
        <v>368</v>
      </c>
      <c r="G333" s="35" t="s">
        <v>359</v>
      </c>
      <c r="H333" s="24">
        <v>1</v>
      </c>
      <c r="I333" s="54"/>
      <c r="J333" s="24"/>
    </row>
    <row r="334" spans="1:10">
      <c r="A334" s="35">
        <f t="shared" si="18"/>
        <v>1924</v>
      </c>
      <c r="B334" s="78" t="str">
        <f>INDEX(武器技能设计!$B$2:$B$20,MATCH(D334,武器技能设计!$A$2:$A$20,0))</f>
        <v>雷神之锤</v>
      </c>
      <c r="C334" s="46" t="s">
        <v>360</v>
      </c>
      <c r="D334" s="35">
        <f t="shared" si="20"/>
        <v>19</v>
      </c>
      <c r="E334" s="35">
        <f t="shared" si="19"/>
        <v>99</v>
      </c>
      <c r="F334" s="46" t="s">
        <v>369</v>
      </c>
      <c r="G334" s="35" t="s">
        <v>230</v>
      </c>
      <c r="H334" s="24">
        <v>0.3</v>
      </c>
      <c r="I334" s="54"/>
      <c r="J334" s="24"/>
    </row>
    <row r="335" spans="1:10">
      <c r="A335" s="35">
        <f t="shared" si="18"/>
        <v>1931</v>
      </c>
      <c r="B335" s="78" t="str">
        <f>INDEX(武器技能设计!$B$2:$B$20,MATCH(D335,武器技能设计!$A$2:$A$20,0))</f>
        <v>雷神之锤</v>
      </c>
      <c r="C335" s="44" t="s">
        <v>95</v>
      </c>
      <c r="D335" s="35">
        <f t="shared" si="20"/>
        <v>19</v>
      </c>
      <c r="E335" s="35">
        <f t="shared" si="19"/>
        <v>1</v>
      </c>
      <c r="F335" s="44" t="s">
        <v>95</v>
      </c>
      <c r="G335" s="35">
        <v>11</v>
      </c>
      <c r="H335" s="24">
        <v>1</v>
      </c>
      <c r="I335" s="54"/>
      <c r="J335" s="24"/>
    </row>
    <row r="336" spans="1:10">
      <c r="A336" s="35">
        <f t="shared" si="18"/>
        <v>1932</v>
      </c>
      <c r="B336" s="78" t="str">
        <f>INDEX(武器技能设计!$B$2:$B$20,MATCH(D336,武器技能设计!$A$2:$A$20,0))</f>
        <v>雷神之锤</v>
      </c>
      <c r="C336" s="44" t="s">
        <v>36</v>
      </c>
      <c r="D336" s="35">
        <f t="shared" si="20"/>
        <v>19</v>
      </c>
      <c r="E336" s="35">
        <f t="shared" si="19"/>
        <v>1</v>
      </c>
      <c r="F336" s="44" t="s">
        <v>36</v>
      </c>
      <c r="G336" s="35" t="s">
        <v>341</v>
      </c>
      <c r="H336" s="24">
        <v>1</v>
      </c>
      <c r="I336" s="54"/>
      <c r="J336" s="24"/>
    </row>
    <row r="337" spans="1:10">
      <c r="A337" s="35">
        <f t="shared" ref="A337:A357" si="21">A320+100</f>
        <v>1941</v>
      </c>
      <c r="B337" s="78" t="str">
        <f>INDEX(武器技能设计!$B$2:$B$20,MATCH(D337,武器技能设计!$A$2:$A$20,0))</f>
        <v>雷神之锤</v>
      </c>
      <c r="C337" s="46" t="s">
        <v>26</v>
      </c>
      <c r="D337" s="35">
        <f t="shared" si="20"/>
        <v>19</v>
      </c>
      <c r="E337" s="35">
        <f t="shared" si="19"/>
        <v>1</v>
      </c>
      <c r="F337" s="46" t="s">
        <v>26</v>
      </c>
      <c r="G337" s="35">
        <v>3</v>
      </c>
      <c r="H337" s="24">
        <v>2</v>
      </c>
      <c r="I337" s="54"/>
      <c r="J337" s="24"/>
    </row>
    <row r="338" spans="1:10">
      <c r="A338" s="35">
        <f t="shared" si="21"/>
        <v>1942</v>
      </c>
      <c r="B338" s="78" t="str">
        <f>INDEX(武器技能设计!$B$2:$B$20,MATCH(D338,武器技能设计!$A$2:$A$20,0))</f>
        <v>雷神之锤</v>
      </c>
      <c r="C338" s="46" t="s">
        <v>141</v>
      </c>
      <c r="D338" s="35">
        <f t="shared" si="20"/>
        <v>19</v>
      </c>
      <c r="E338" s="35">
        <f t="shared" si="19"/>
        <v>1</v>
      </c>
      <c r="F338" s="46" t="s">
        <v>141</v>
      </c>
      <c r="G338" s="35">
        <v>11</v>
      </c>
      <c r="H338" s="24">
        <v>1</v>
      </c>
      <c r="I338" s="24">
        <v>1</v>
      </c>
      <c r="J338" s="24">
        <v>0.5</v>
      </c>
    </row>
    <row r="339" spans="1:10">
      <c r="A339" s="35">
        <f t="shared" si="21"/>
        <v>1951</v>
      </c>
      <c r="B339" s="78" t="str">
        <f>INDEX(武器技能设计!$B$2:$B$20,MATCH(D339,武器技能设计!$A$2:$A$20,0))</f>
        <v>雷神之锤</v>
      </c>
      <c r="C339" s="47" t="s">
        <v>427</v>
      </c>
      <c r="D339" s="35">
        <f t="shared" si="20"/>
        <v>19</v>
      </c>
      <c r="E339" s="35">
        <f t="shared" si="19"/>
        <v>1</v>
      </c>
      <c r="F339" s="47" t="s">
        <v>427</v>
      </c>
      <c r="G339" s="24" t="s">
        <v>342</v>
      </c>
      <c r="H339" s="24">
        <v>2</v>
      </c>
      <c r="I339" s="24"/>
      <c r="J339" s="24"/>
    </row>
    <row r="340" s="36" customFormat="1" ht="14.55" spans="1:37">
      <c r="A340" s="72">
        <f t="shared" si="21"/>
        <v>1952</v>
      </c>
      <c r="B340" s="78" t="str">
        <f>INDEX(武器技能设计!$B$2:$B$20,MATCH(D340,武器技能设计!$A$2:$A$20,0))</f>
        <v>雷神之锤</v>
      </c>
      <c r="C340" s="48" t="s">
        <v>143</v>
      </c>
      <c r="D340" s="72">
        <f t="shared" si="20"/>
        <v>19</v>
      </c>
      <c r="E340" s="72">
        <f t="shared" si="19"/>
        <v>1</v>
      </c>
      <c r="F340" s="48" t="s">
        <v>143</v>
      </c>
      <c r="G340" s="72">
        <v>14</v>
      </c>
      <c r="H340" s="79">
        <v>3</v>
      </c>
      <c r="I340" s="79">
        <v>3</v>
      </c>
      <c r="J340" s="79">
        <v>2</v>
      </c>
      <c r="O340" s="87"/>
      <c r="R340" s="81"/>
      <c r="X340" s="87"/>
      <c r="Y340" s="81"/>
      <c r="Z340" s="87"/>
      <c r="AA340" s="81"/>
      <c r="AF340" s="87"/>
      <c r="AG340" s="87"/>
      <c r="AH340" s="87"/>
      <c r="AI340" s="87"/>
      <c r="AJ340" s="87"/>
      <c r="AK340" s="81"/>
    </row>
    <row r="341" spans="1:10">
      <c r="A341" s="78">
        <f t="shared" si="21"/>
        <v>2001</v>
      </c>
      <c r="B341" s="78" t="str">
        <f>INDEX(武器技能设计!$B$2:$B$21,MATCH(D341,武器技能设计!$A$2:$A$21,0))</f>
        <v>弧刃脉冲炮</v>
      </c>
      <c r="C341" s="76" t="s">
        <v>355</v>
      </c>
      <c r="D341" s="78">
        <f t="shared" si="20"/>
        <v>20</v>
      </c>
      <c r="E341" s="78">
        <f t="shared" si="19"/>
        <v>99</v>
      </c>
      <c r="F341" s="41" t="s">
        <v>356</v>
      </c>
      <c r="G341" s="78" t="s">
        <v>324</v>
      </c>
      <c r="H341" s="80">
        <v>0.25</v>
      </c>
      <c r="I341" s="88"/>
      <c r="J341" s="80"/>
    </row>
    <row r="342" spans="1:10">
      <c r="A342" s="35">
        <f t="shared" si="21"/>
        <v>2002</v>
      </c>
      <c r="B342" s="78" t="str">
        <f>INDEX(武器技能设计!$B$2:$B$21,MATCH(D342,武器技能设计!$A$2:$A$21,0))</f>
        <v>弧刃脉冲炮</v>
      </c>
      <c r="C342" s="41" t="s">
        <v>322</v>
      </c>
      <c r="D342" s="35">
        <f t="shared" si="20"/>
        <v>20</v>
      </c>
      <c r="E342" s="35">
        <f t="shared" si="19"/>
        <v>99</v>
      </c>
      <c r="F342" s="41" t="s">
        <v>357</v>
      </c>
      <c r="G342" s="35" t="s">
        <v>358</v>
      </c>
      <c r="H342" s="24">
        <v>0.15</v>
      </c>
      <c r="I342" s="54"/>
      <c r="J342" s="24"/>
    </row>
    <row r="343" spans="1:10">
      <c r="A343" s="35">
        <f t="shared" si="21"/>
        <v>2003</v>
      </c>
      <c r="B343" s="78" t="str">
        <f>INDEX(武器技能设计!$B$2:$B$21,MATCH(D343,武器技能设计!$A$2:$A$21,0))</f>
        <v>弧刃脉冲炮</v>
      </c>
      <c r="C343" s="41" t="s">
        <v>360</v>
      </c>
      <c r="D343" s="35">
        <f t="shared" si="20"/>
        <v>20</v>
      </c>
      <c r="E343" s="35">
        <f t="shared" si="19"/>
        <v>99</v>
      </c>
      <c r="F343" s="41" t="s">
        <v>361</v>
      </c>
      <c r="G343" s="35" t="s">
        <v>230</v>
      </c>
      <c r="H343" s="24">
        <v>0.1</v>
      </c>
      <c r="I343" s="54"/>
      <c r="J343" s="24"/>
    </row>
    <row r="344" spans="1:10">
      <c r="A344" s="35">
        <f t="shared" si="21"/>
        <v>2011</v>
      </c>
      <c r="B344" s="78" t="str">
        <f>INDEX(武器技能设计!$B$2:$B$21,MATCH(D344,武器技能设计!$A$2:$A$21,0))</f>
        <v>弧刃脉冲炮</v>
      </c>
      <c r="C344" s="44" t="s">
        <v>355</v>
      </c>
      <c r="D344" s="35">
        <f t="shared" si="20"/>
        <v>20</v>
      </c>
      <c r="E344" s="35">
        <f t="shared" si="19"/>
        <v>99</v>
      </c>
      <c r="F344" s="44" t="s">
        <v>362</v>
      </c>
      <c r="G344" s="35" t="s">
        <v>324</v>
      </c>
      <c r="H344" s="24">
        <v>0.5</v>
      </c>
      <c r="I344" s="54"/>
      <c r="J344" s="24"/>
    </row>
    <row r="345" spans="1:10">
      <c r="A345" s="35">
        <f t="shared" si="21"/>
        <v>2012</v>
      </c>
      <c r="B345" s="78" t="str">
        <f>INDEX(武器技能设计!$B$2:$B$21,MATCH(D345,武器技能设计!$A$2:$A$21,0))</f>
        <v>弧刃脉冲炮</v>
      </c>
      <c r="C345" s="44" t="s">
        <v>322</v>
      </c>
      <c r="D345" s="35">
        <f t="shared" si="20"/>
        <v>20</v>
      </c>
      <c r="E345" s="35">
        <f t="shared" si="19"/>
        <v>99</v>
      </c>
      <c r="F345" s="44" t="s">
        <v>363</v>
      </c>
      <c r="G345" s="35" t="s">
        <v>358</v>
      </c>
      <c r="H345" s="24">
        <v>0.25</v>
      </c>
      <c r="I345" s="54"/>
      <c r="J345" s="24"/>
    </row>
    <row r="346" spans="1:10">
      <c r="A346" s="35">
        <f t="shared" si="21"/>
        <v>2013</v>
      </c>
      <c r="B346" s="78" t="str">
        <f>INDEX(武器技能设计!$B$2:$B$21,MATCH(D346,武器技能设计!$A$2:$A$21,0))</f>
        <v>弧刃脉冲炮</v>
      </c>
      <c r="C346" s="44" t="s">
        <v>359</v>
      </c>
      <c r="D346" s="35">
        <f t="shared" si="20"/>
        <v>20</v>
      </c>
      <c r="E346" s="35">
        <f t="shared" si="19"/>
        <v>99</v>
      </c>
      <c r="F346" s="44" t="s">
        <v>364</v>
      </c>
      <c r="G346" s="35" t="s">
        <v>359</v>
      </c>
      <c r="H346" s="24">
        <v>0.5</v>
      </c>
      <c r="I346" s="54"/>
      <c r="J346" s="24"/>
    </row>
    <row r="347" spans="1:10">
      <c r="A347" s="35">
        <f t="shared" si="21"/>
        <v>2014</v>
      </c>
      <c r="B347" s="78" t="str">
        <f>INDEX(武器技能设计!$B$2:$B$21,MATCH(D347,武器技能设计!$A$2:$A$21,0))</f>
        <v>弧刃脉冲炮</v>
      </c>
      <c r="C347" s="44" t="s">
        <v>360</v>
      </c>
      <c r="D347" s="35">
        <f t="shared" si="20"/>
        <v>20</v>
      </c>
      <c r="E347" s="35">
        <f t="shared" si="19"/>
        <v>99</v>
      </c>
      <c r="F347" s="44" t="s">
        <v>365</v>
      </c>
      <c r="G347" s="35" t="s">
        <v>230</v>
      </c>
      <c r="H347" s="24">
        <v>0.2</v>
      </c>
      <c r="I347" s="54"/>
      <c r="J347" s="24"/>
    </row>
    <row r="348" spans="1:10">
      <c r="A348" s="35">
        <f t="shared" si="21"/>
        <v>2021</v>
      </c>
      <c r="B348" s="78" t="str">
        <f>INDEX(武器技能设计!$B$2:$B$21,MATCH(D348,武器技能设计!$A$2:$A$21,0))</f>
        <v>弧刃脉冲炮</v>
      </c>
      <c r="C348" s="46" t="s">
        <v>355</v>
      </c>
      <c r="D348" s="35">
        <f t="shared" si="20"/>
        <v>20</v>
      </c>
      <c r="E348" s="35">
        <f t="shared" si="19"/>
        <v>99</v>
      </c>
      <c r="F348" s="46" t="s">
        <v>366</v>
      </c>
      <c r="G348" s="35" t="s">
        <v>324</v>
      </c>
      <c r="H348" s="24">
        <v>1</v>
      </c>
      <c r="I348" s="54"/>
      <c r="J348" s="24"/>
    </row>
    <row r="349" spans="1:10">
      <c r="A349" s="35">
        <f t="shared" si="21"/>
        <v>2022</v>
      </c>
      <c r="B349" s="78" t="str">
        <f>INDEX(武器技能设计!$B$2:$B$21,MATCH(D349,武器技能设计!$A$2:$A$21,0))</f>
        <v>弧刃脉冲炮</v>
      </c>
      <c r="C349" s="46" t="s">
        <v>322</v>
      </c>
      <c r="D349" s="35">
        <f t="shared" si="20"/>
        <v>20</v>
      </c>
      <c r="E349" s="35">
        <f t="shared" si="19"/>
        <v>99</v>
      </c>
      <c r="F349" s="46" t="s">
        <v>367</v>
      </c>
      <c r="G349" s="35" t="s">
        <v>358</v>
      </c>
      <c r="H349" s="24">
        <v>0.5</v>
      </c>
      <c r="I349" s="54"/>
      <c r="J349" s="24"/>
    </row>
    <row r="350" spans="1:10">
      <c r="A350" s="35">
        <f t="shared" si="21"/>
        <v>2023</v>
      </c>
      <c r="B350" s="78" t="str">
        <f>INDEX(武器技能设计!$B$2:$B$21,MATCH(D350,武器技能设计!$A$2:$A$21,0))</f>
        <v>弧刃脉冲炮</v>
      </c>
      <c r="C350" s="46" t="s">
        <v>359</v>
      </c>
      <c r="D350" s="35">
        <f t="shared" si="20"/>
        <v>20</v>
      </c>
      <c r="E350" s="35">
        <f t="shared" si="19"/>
        <v>99</v>
      </c>
      <c r="F350" s="46" t="s">
        <v>368</v>
      </c>
      <c r="G350" s="35" t="s">
        <v>359</v>
      </c>
      <c r="H350" s="24">
        <v>1</v>
      </c>
      <c r="I350" s="54"/>
      <c r="J350" s="24"/>
    </row>
    <row r="351" spans="1:10">
      <c r="A351" s="35">
        <f t="shared" si="21"/>
        <v>2024</v>
      </c>
      <c r="B351" s="78" t="str">
        <f>INDEX(武器技能设计!$B$2:$B$21,MATCH(D351,武器技能设计!$A$2:$A$21,0))</f>
        <v>弧刃脉冲炮</v>
      </c>
      <c r="C351" s="46" t="s">
        <v>360</v>
      </c>
      <c r="D351" s="35">
        <f t="shared" si="20"/>
        <v>20</v>
      </c>
      <c r="E351" s="35">
        <f t="shared" si="19"/>
        <v>99</v>
      </c>
      <c r="F351" s="46" t="s">
        <v>369</v>
      </c>
      <c r="G351" s="35" t="s">
        <v>230</v>
      </c>
      <c r="H351" s="24">
        <v>0.3</v>
      </c>
      <c r="I351" s="54"/>
      <c r="J351" s="24"/>
    </row>
    <row r="352" spans="1:10">
      <c r="A352" s="35">
        <f t="shared" si="21"/>
        <v>2031</v>
      </c>
      <c r="B352" s="78" t="str">
        <f>INDEX(武器技能设计!$B$2:$B$21,MATCH(D352,武器技能设计!$A$2:$A$21,0))</f>
        <v>弧刃脉冲炮</v>
      </c>
      <c r="C352" s="44" t="s">
        <v>128</v>
      </c>
      <c r="D352" s="35">
        <f t="shared" si="20"/>
        <v>20</v>
      </c>
      <c r="E352" s="35">
        <f t="shared" si="19"/>
        <v>1</v>
      </c>
      <c r="F352" s="44" t="s">
        <v>128</v>
      </c>
      <c r="G352" s="35">
        <v>11</v>
      </c>
      <c r="H352" s="24">
        <v>1</v>
      </c>
      <c r="I352" s="54"/>
      <c r="J352" s="24"/>
    </row>
    <row r="353" spans="1:10">
      <c r="A353" s="35">
        <f t="shared" si="21"/>
        <v>2032</v>
      </c>
      <c r="B353" s="78" t="str">
        <f>INDEX(武器技能设计!$B$2:$B$21,MATCH(D353,武器技能设计!$A$2:$A$21,0))</f>
        <v>弧刃脉冲炮</v>
      </c>
      <c r="C353" s="44" t="s">
        <v>145</v>
      </c>
      <c r="D353" s="35">
        <f t="shared" si="20"/>
        <v>20</v>
      </c>
      <c r="E353" s="35">
        <f t="shared" si="19"/>
        <v>1</v>
      </c>
      <c r="F353" s="44" t="s">
        <v>145</v>
      </c>
      <c r="G353" s="35" t="s">
        <v>341</v>
      </c>
      <c r="H353" s="24">
        <v>1</v>
      </c>
      <c r="I353" s="54"/>
      <c r="J353" s="24"/>
    </row>
    <row r="354" spans="1:10">
      <c r="A354" s="35">
        <f t="shared" si="21"/>
        <v>2041</v>
      </c>
      <c r="B354" s="78" t="str">
        <f>INDEX(武器技能设计!$B$2:$B$21,MATCH(D354,武器技能设计!$A$2:$A$21,0))</f>
        <v>弧刃脉冲炮</v>
      </c>
      <c r="C354" s="46" t="s">
        <v>146</v>
      </c>
      <c r="D354" s="35">
        <f t="shared" si="20"/>
        <v>20</v>
      </c>
      <c r="E354" s="35">
        <f t="shared" si="19"/>
        <v>1</v>
      </c>
      <c r="F354" s="46" t="s">
        <v>146</v>
      </c>
      <c r="G354" s="35">
        <v>3</v>
      </c>
      <c r="H354" s="24">
        <v>2</v>
      </c>
      <c r="I354" s="54"/>
      <c r="J354" s="24"/>
    </row>
    <row r="355" spans="1:10">
      <c r="A355" s="35">
        <f t="shared" si="21"/>
        <v>2042</v>
      </c>
      <c r="B355" s="78" t="str">
        <f>INDEX(武器技能设计!$B$2:$B$21,MATCH(D355,武器技能设计!$A$2:$A$21,0))</f>
        <v>弧刃脉冲炮</v>
      </c>
      <c r="C355" s="46" t="s">
        <v>147</v>
      </c>
      <c r="D355" s="35">
        <f t="shared" si="20"/>
        <v>20</v>
      </c>
      <c r="E355" s="35">
        <f t="shared" si="19"/>
        <v>1</v>
      </c>
      <c r="F355" s="46" t="s">
        <v>147</v>
      </c>
      <c r="G355" s="35">
        <v>11</v>
      </c>
      <c r="H355" s="24">
        <v>1</v>
      </c>
      <c r="I355" s="24">
        <v>1</v>
      </c>
      <c r="J355" s="24">
        <v>0.5</v>
      </c>
    </row>
    <row r="356" spans="1:10">
      <c r="A356" s="35">
        <f t="shared" si="21"/>
        <v>2051</v>
      </c>
      <c r="B356" s="78" t="str">
        <f>INDEX(武器技能设计!$B$2:$B$21,MATCH(D356,武器技能设计!$A$2:$A$21,0))</f>
        <v>弧刃脉冲炮</v>
      </c>
      <c r="C356" s="47" t="s">
        <v>148</v>
      </c>
      <c r="D356" s="35">
        <f t="shared" si="20"/>
        <v>20</v>
      </c>
      <c r="E356" s="35">
        <f t="shared" si="19"/>
        <v>1</v>
      </c>
      <c r="F356" s="47" t="s">
        <v>148</v>
      </c>
      <c r="G356" s="24" t="s">
        <v>342</v>
      </c>
      <c r="H356" s="24">
        <v>2</v>
      </c>
      <c r="I356" s="24"/>
      <c r="J356" s="24"/>
    </row>
    <row r="357" s="36" customFormat="1" ht="14.55" spans="1:37">
      <c r="A357" s="72">
        <f t="shared" si="21"/>
        <v>2052</v>
      </c>
      <c r="B357" s="90" t="str">
        <f>INDEX(武器技能设计!$B$2:$B$21,MATCH(D357,武器技能设计!$A$2:$A$21,0))</f>
        <v>弧刃脉冲炮</v>
      </c>
      <c r="C357" s="48" t="s">
        <v>149</v>
      </c>
      <c r="D357" s="72">
        <f t="shared" si="20"/>
        <v>20</v>
      </c>
      <c r="E357" s="72">
        <f>E340</f>
        <v>1</v>
      </c>
      <c r="F357" s="48" t="s">
        <v>149</v>
      </c>
      <c r="G357" s="72">
        <v>14</v>
      </c>
      <c r="H357" s="79">
        <v>3</v>
      </c>
      <c r="I357" s="79">
        <v>3</v>
      </c>
      <c r="J357" s="79">
        <v>2</v>
      </c>
      <c r="O357" s="87"/>
      <c r="R357" s="81"/>
      <c r="X357" s="87"/>
      <c r="Y357" s="81"/>
      <c r="Z357" s="87"/>
      <c r="AA357" s="81"/>
      <c r="AF357" s="87"/>
      <c r="AG357" s="87"/>
      <c r="AH357" s="87"/>
      <c r="AI357" s="87"/>
      <c r="AJ357" s="87"/>
      <c r="AK357" s="81"/>
    </row>
  </sheetData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1"/>
  <sheetViews>
    <sheetView topLeftCell="A94" workbookViewId="0">
      <selection activeCell="C124" sqref="C124"/>
    </sheetView>
  </sheetViews>
  <sheetFormatPr defaultColWidth="8.88888888888889" defaultRowHeight="13.8" outlineLevelCol="5"/>
  <cols>
    <col min="1" max="1" width="8.88888888888889" style="4"/>
    <col min="2" max="2" width="64.5555555555556" customWidth="1"/>
    <col min="3" max="3" width="117.555555555556" customWidth="1"/>
  </cols>
  <sheetData>
    <row r="1" spans="1:3">
      <c r="A1" s="4" t="s">
        <v>627</v>
      </c>
      <c r="B1" s="4" t="s">
        <v>568</v>
      </c>
      <c r="C1" s="4" t="s">
        <v>570</v>
      </c>
    </row>
    <row r="2" spans="1:6">
      <c r="A2" s="4">
        <v>1</v>
      </c>
      <c r="B2" t="str">
        <f>第1关!M71</f>
        <v>101,10,1|101,10,2|101,10,3|101,10,4;105,5,4|102,15,5|102,15,6|102,15,7;106,1,7</v>
      </c>
      <c r="C2" t="str">
        <f>第1关!R71</f>
        <v>101,10,1|101,10,2|101,10,3|101,10,4;105,5,4|102,15,5|102,15,6|102,15,7;106,1,7</v>
      </c>
      <c r="D2">
        <v>101</v>
      </c>
      <c r="E2">
        <v>105</v>
      </c>
      <c r="F2">
        <v>106</v>
      </c>
    </row>
    <row r="3" spans="1:6">
      <c r="A3" s="4">
        <v>2</v>
      </c>
      <c r="B3" t="str">
        <f>第2关!M71</f>
        <v>201,10,1|201,10,2|201,10,3|201,10,4|202,5,5;205,5,5|202,15,6|202,15,7|202,15,8|202,15,9|202,15,10;206,1,10</v>
      </c>
      <c r="C3" t="str">
        <f>第2关!R71</f>
        <v>201,10,1|201,10,2|201,10,3|201,10,4|202,5,5;205,5,5|202,15,6|202,15,7|202,15,8|202,15,9|202,15,10;206,1,10</v>
      </c>
      <c r="D3">
        <v>201</v>
      </c>
      <c r="E3">
        <v>205</v>
      </c>
      <c r="F3">
        <v>206</v>
      </c>
    </row>
    <row r="4" spans="1:6">
      <c r="A4" s="4">
        <v>3</v>
      </c>
      <c r="B4" t="str">
        <f>第3关!M71</f>
        <v>301,10,1|301,10,2|301,10,3|301,10,4;305,5,4|302,5,5|302,10,6|302,10,7|302,10,8;305,5,8|302,15,9|302,15,10|303,15,11|303,15,12;306,1,12</v>
      </c>
      <c r="C4" t="str">
        <f>第3关!R71</f>
        <v>301,10,1|301,10,2|301,10,3|301,10,4;305,5,4|302,5,5|302,10,6|302,10,7|302,10,8;305,5,8|302,15,9|302,15,10|303,15,11|303,15,12;306,1,12</v>
      </c>
      <c r="D4">
        <v>301</v>
      </c>
      <c r="E4">
        <v>305</v>
      </c>
      <c r="F4">
        <v>306</v>
      </c>
    </row>
    <row r="5" spans="1:6">
      <c r="A5" s="4">
        <v>4</v>
      </c>
      <c r="B5" t="str">
        <f>第4关!M71</f>
        <v>401,10,1|401,10,2|401,10,3|401,10,4;405,5,4|402,10,5|402,10,6|402,10,7|402,10,8;405,5,8|402,15,9|402,15,10|403,15,11|403,15,12;406,1,12</v>
      </c>
      <c r="C5" t="str">
        <f>第4关!R71</f>
        <v>401,10,1|401,10,2|401,10,3|401,10,4;405,5,4|402,10,5|402,10,6|402,10,7|402,10,8;405,5,8|402,15,9|402,15,10|403,15,11|403,15,12;406,1,12</v>
      </c>
      <c r="D5">
        <v>401</v>
      </c>
      <c r="E5">
        <v>405</v>
      </c>
      <c r="F5">
        <v>406</v>
      </c>
    </row>
    <row r="6" spans="1:6">
      <c r="A6" s="4">
        <v>5</v>
      </c>
      <c r="B6" t="str">
        <f>第5关!$M$71</f>
        <v>501,10,1|501,10,2|501,10,3|501,10,4;505,5,4|502,10,5|502,10,6|502,10,7|502,10,8;505,5,8|502,15,9|502,15,10|503,15,11|503,15,12;506,1,12</v>
      </c>
      <c r="C6" t="str">
        <f>第5关!$R$71</f>
        <v>501,10,1|501,10,2|501,10,3|501,10,4;505,5,4|502,10,5|502,10,6|502,10,7|502,10,8;505,5,8|502,15,9|502,15,10|503,15,11|503,15,12;506,1,12</v>
      </c>
      <c r="D6">
        <v>501</v>
      </c>
      <c r="E6">
        <v>505</v>
      </c>
      <c r="F6">
        <v>506</v>
      </c>
    </row>
    <row r="7" spans="1:6">
      <c r="A7" s="4">
        <v>6</v>
      </c>
      <c r="B7" t="str">
        <f>第6关!$M$71</f>
        <v>601,10,1|601,10,2|601,10,3|601,10,4;605,5,4|602,10,5|602,10,6|602,10,7|602,10,8;605,5,8|602,15,9|602,15,10|603,15,11|603,15,12;606,1,12</v>
      </c>
      <c r="C7" t="str">
        <f>第6关!$R$71</f>
        <v>601,10,1|601,10,2|601,10,3|601,10,4;605,5,4|602,10,5|602,10,6|602,10,7|602,10,8;605,5,8|602,15,9|602,15,10|603,15,11|603,15,12;606,1,12</v>
      </c>
      <c r="D7">
        <v>601</v>
      </c>
      <c r="E7">
        <v>605</v>
      </c>
      <c r="F7">
        <v>606</v>
      </c>
    </row>
    <row r="8" spans="1:6">
      <c r="A8" s="4">
        <v>7</v>
      </c>
      <c r="B8" t="str">
        <f>第7关!$M$71</f>
        <v>701,10,1|701,10,2|701,10,3|701,10,4;705,5,4|702,10,5|702,10,6|702,10,7|702,10,8;705,5,8|702,15,9|702,15,10|703,15,11|703,15,12;706,1,12</v>
      </c>
      <c r="C8" t="str">
        <f>第7关!$R$71</f>
        <v>701,10,1|701,10,2|701,10,3|701,10,4;705,5,4|702,10,5|702,10,6|702,10,7|702,10,8;705,5,8|702,15,9|702,15,10|703,15,11|703,15,12;706,1,12</v>
      </c>
      <c r="D8">
        <v>701</v>
      </c>
      <c r="E8">
        <v>705</v>
      </c>
      <c r="F8">
        <v>706</v>
      </c>
    </row>
    <row r="9" spans="1:6">
      <c r="A9" s="4">
        <v>8</v>
      </c>
      <c r="B9" t="str">
        <f>第8关!$M$71</f>
        <v>801,10,1|801,10,2|801,10,3|801,10,4;805,5,4|802,10,5|802,10,6|802,10,7|802,10,8;805,5,8|802,15,9|802,15,10|803,15,11|803,15,12;806,1,12</v>
      </c>
      <c r="C9" t="str">
        <f>第8关!$R$71</f>
        <v>801,10,1|801,10,2|801,10,3|801,10,4;805,5,4|802,10,5|802,10,6|802,10,7|802,10,8;805,5,8|802,15,9|802,15,10|803,15,11|803,15,12;806,1,12</v>
      </c>
      <c r="D9">
        <v>801</v>
      </c>
      <c r="E9">
        <v>805</v>
      </c>
      <c r="F9">
        <v>806</v>
      </c>
    </row>
    <row r="10" spans="1:6">
      <c r="A10" s="4">
        <v>9</v>
      </c>
      <c r="B10" t="str">
        <f>第9关!$M$71</f>
        <v>901,10,1|901,10,2|901,10,3|901,10,4;905,5,4|902,10,5|902,10,6|902,10,7|902,10,8;905,5,8|902,15,9|902,15,10|903,15,11|903,15,12;906,1,12</v>
      </c>
      <c r="C10" t="str">
        <f>第9关!$R$71</f>
        <v>901,10,1|901,10,2|901,10,3|901,10,4;905,5,4|902,10,5|902,10,6|902,10,7|902,10,8;905,5,8|902,15,9|902,15,10|903,15,11|903,15,12;906,1,12</v>
      </c>
      <c r="D10">
        <v>901</v>
      </c>
      <c r="E10">
        <v>905</v>
      </c>
      <c r="F10">
        <v>906</v>
      </c>
    </row>
    <row r="11" spans="1:6">
      <c r="A11" s="4">
        <v>10</v>
      </c>
      <c r="B11" t="str">
        <f>第10关!$M$71</f>
        <v>1001,10,1|1001,10,2|1001,10,3|1001,10,4;1005,5,4|1002,10,5|1002,10,6|1002,10,7|1002,10,8;1005,5,8|1002,15,9|1002,15,10|1003,15,11|1003,15,12;1006,1,12</v>
      </c>
      <c r="C11" t="str">
        <f>第10关!$R$71</f>
        <v>1001,10,1|1001,10,2|1001,10,3|1001,10,4;1005,5,4|1002,10,5|1002,10,6|1002,10,7|1002,10,8;1005,5,8|1002,15,9|1002,15,10|1003,15,11|1003,15,12;1006,1,12</v>
      </c>
      <c r="D11">
        <v>1001</v>
      </c>
      <c r="E11">
        <v>1005</v>
      </c>
      <c r="F11">
        <v>1006</v>
      </c>
    </row>
    <row r="12" spans="1:6">
      <c r="A12" s="4">
        <v>11</v>
      </c>
      <c r="B12" t="str">
        <f>第11关!$M$71</f>
        <v>1101,10,1|1101,10,2|1101,10,3|1101,10,4;1105,5,4|1102,10,5|1102,10,6|1102,10,7|1102,10,8;1105,5,8|1102,15,9|1102,15,10|1103,15,11|1103,15,12;1106,1,12</v>
      </c>
      <c r="C12" t="str">
        <f>第11关!$R$71</f>
        <v>1101,10,1|1101,10,2|1101,10,3|1101,10,4;1105,5,4|1102,10,5|1102,10,6|1102,10,7|1102,10,8;1105,5,8|1102,15,9|1102,15,10|1103,15,11|1103,15,12;1106,1,12</v>
      </c>
      <c r="D12">
        <v>1101</v>
      </c>
      <c r="E12">
        <v>1105</v>
      </c>
      <c r="F12">
        <v>1106</v>
      </c>
    </row>
    <row r="13" spans="1:6">
      <c r="A13" s="4">
        <v>12</v>
      </c>
      <c r="B13" t="str">
        <f>第12关!$M$71</f>
        <v>1201,10,1|1201,10,2|1201,10,3|1201,10,4;1205,5,4|1202,10,5|1202,10,6|1202,10,7|1202,10,8;1205,5,8|1202,15,9|1202,15,10|1203,15,11|1203,15,12;1206,1,12</v>
      </c>
      <c r="C13" t="str">
        <f>第12关!$R$71</f>
        <v>1201,10,1|1201,10,2|1201,10,3|1201,10,4;1205,5,4|1202,10,5|1202,10,6|1202,10,7|1202,10,8;1205,5,8|1202,15,9|1202,15,10|1203,15,11|1203,15,12;1206,1,12</v>
      </c>
      <c r="D13">
        <v>1201</v>
      </c>
      <c r="E13">
        <v>1205</v>
      </c>
      <c r="F13">
        <v>1206</v>
      </c>
    </row>
    <row r="14" spans="1:6">
      <c r="A14" s="4">
        <v>13</v>
      </c>
      <c r="B14" t="str">
        <f>第13关!$M$71</f>
        <v>1301,10,1|1301,10,2|1301,10,3|1301,10,4;1305,5,4|1302,10,5|1302,10,6|1302,10,7|1302,10,8;1305,5,8|1302,15,9|1302,15,10|1303,15,11|1303,15,12;1306,1,12</v>
      </c>
      <c r="C14" t="str">
        <f>第13关!$R$71</f>
        <v>1301,10,1|1301,10,2|1301,10,3|1301,10,4;1305,5,4|1302,10,5|1302,10,6|1302,10,7|1302,10,8;1305,5,8|1302,15,9|1302,15,10|1303,15,11|1303,15,12;1306,1,12</v>
      </c>
      <c r="D14">
        <v>1301</v>
      </c>
      <c r="E14">
        <v>1305</v>
      </c>
      <c r="F14">
        <v>1306</v>
      </c>
    </row>
    <row r="15" spans="1:6">
      <c r="A15" s="4">
        <v>14</v>
      </c>
      <c r="B15" t="str">
        <f>第14关!$M$71</f>
        <v>1401,10,1|1401,10,2|1401,10,3|1401,10,4;1405,5,4|1402,10,5|1402,10,6|1402,10,7|1402,10,8;1405,5,8|1402,15,9|1402,15,10|1403,15,11|1403,15,12;1406,1,12</v>
      </c>
      <c r="C15" t="str">
        <f>第14关!$R$71</f>
        <v>1401,10,1|1401,10,2|1401,10,3|1401,10,4;1405,5,4|1402,10,5|1402,10,6|1402,10,7|1402,10,8;1405,5,8|1402,15,9|1402,15,10|1403,15,11|1403,15,12;1406,1,12</v>
      </c>
      <c r="D15">
        <v>1401</v>
      </c>
      <c r="E15">
        <v>1405</v>
      </c>
      <c r="F15">
        <v>1406</v>
      </c>
    </row>
    <row r="16" spans="1:6">
      <c r="A16" s="4">
        <v>15</v>
      </c>
      <c r="B16" t="str">
        <f>第15关!$M$71</f>
        <v>1501,10,1|1501,10,2|1501,10,3|1501,10,4;1505,5,4|1502,10,5|1502,10,6|1502,10,7|1502,10,8;1505,5,8|1502,15,9|1502,15,10|1503,15,11|1503,15,12;1506,1,12</v>
      </c>
      <c r="C16" t="str">
        <f>第15关!$R$71</f>
        <v>1501,10,1|1501,10,2|1501,10,3|1501,10,4;1505,5,4|1502,10,5|1502,10,6|1502,10,7|1502,10,8;1505,5,8|1502,15,9|1502,15,10|1503,15,11|1503,15,12;1506,1,12</v>
      </c>
      <c r="D16">
        <v>1501</v>
      </c>
      <c r="E16">
        <v>1505</v>
      </c>
      <c r="F16">
        <v>1506</v>
      </c>
    </row>
    <row r="17" spans="1:6">
      <c r="A17" s="4">
        <v>16</v>
      </c>
      <c r="B17" t="str">
        <f>第16关!$M$71</f>
        <v>1601,10,1|1601,10,2|1601,10,3|1601,10,4;1605,5,4|1602,10,5|1602,10,6|1602,10,7|1602,10,8;1605,5,8|1602,15,9|1602,15,10|1603,15,11|1603,15,12;1606,1,12</v>
      </c>
      <c r="C17" t="str">
        <f>第16关!$R$71</f>
        <v>1601,10,1|1601,10,2|1601,10,3|1601,10,4;1605,5,4|1602,10,5|1602,10,6|1602,10,7|1602,10,8;1605,5,8|1602,15,9|1602,15,10|1603,15,11|1603,15,12;1606,1,12</v>
      </c>
      <c r="D17">
        <v>1601</v>
      </c>
      <c r="E17">
        <v>1605</v>
      </c>
      <c r="F17">
        <v>1606</v>
      </c>
    </row>
    <row r="18" spans="1:6">
      <c r="A18" s="4">
        <v>17</v>
      </c>
      <c r="B18" t="str">
        <f>第17关!$M$71</f>
        <v>1701,10,1|1701,10,2|1701,10,3|1701,10,4;1705,5,4|1702,10,5|1702,10,6|1702,10,7|1702,10,8;1705,5,8|1702,15,9|1702,15,10|1703,15,11|1703,15,12;1706,1,12</v>
      </c>
      <c r="C18" t="str">
        <f>第17关!$R$71</f>
        <v>1701,10,1|1701,10,2|1701,10,3|1701,10,4;1705,5,4|1702,10,5|1702,10,6|1702,10,7|1702,10,8;1705,5,8|1702,15,9|1702,15,10|1703,15,11|1703,15,12;1706,1,12</v>
      </c>
      <c r="D18">
        <v>1701</v>
      </c>
      <c r="E18">
        <v>1705</v>
      </c>
      <c r="F18">
        <v>1706</v>
      </c>
    </row>
    <row r="19" spans="1:6">
      <c r="A19" s="4">
        <v>18</v>
      </c>
      <c r="B19" t="str">
        <f>第18关!$M$71</f>
        <v>1801,10,1|1801,10,2|1801,10,3|1801,10,4;1805,5,4|1802,10,5|1802,10,6|1802,10,7|1802,10,8;1805,5,8|1802,15,9|1802,15,10|1803,15,11|1803,15,12;1806,1,12</v>
      </c>
      <c r="C19" t="str">
        <f>第18关!$R$71</f>
        <v>1801,10,1|1801,10,2|1801,10,3|1801,10,4;1805,5,4|1802,10,5|1802,10,6|1802,10,7|1802,10,8;1805,5,8|1802,15,9|1802,15,10|1803,15,11|1803,15,12;1806,1,12</v>
      </c>
      <c r="D19">
        <v>1801</v>
      </c>
      <c r="E19">
        <v>1805</v>
      </c>
      <c r="F19">
        <v>1806</v>
      </c>
    </row>
    <row r="20" spans="1:6">
      <c r="A20" s="4">
        <v>19</v>
      </c>
      <c r="B20" t="str">
        <f>第19关!$M$71</f>
        <v>1901,10,1|1901,10,2|1901,10,3|1901,10,4;1905,5,4|1902,10,5|1902,10,6|1902,10,7|1902,10,8;1905,5,8|1902,15,9|1902,15,10|1903,15,11|1903,15,12;1906,1,12</v>
      </c>
      <c r="C20" t="str">
        <f>第19关!$R$71</f>
        <v>1901,10,1|1901,10,2|1901,10,3|1901,10,4;1905,5,4|1902,10,5|1902,10,6|1902,10,7|1902,10,8;1905,5,8|1902,15,9|1902,15,10|1903,15,11|1903,15,12;1906,1,12</v>
      </c>
      <c r="D20">
        <v>1901</v>
      </c>
      <c r="E20">
        <v>1905</v>
      </c>
      <c r="F20">
        <v>1906</v>
      </c>
    </row>
    <row r="21" spans="1:6">
      <c r="A21" s="4">
        <v>20</v>
      </c>
      <c r="B21" t="str">
        <f>第20关!$M$71</f>
        <v>2001,10,1|2001,10,2|2001,10,3|2001,10,4;2005,5,4|2002,10,5|2002,10,6|2002,10,7|2002,10,8;2005,5,8|2002,15,9|2002,15,10|2003,15,11|2003,15,12;2006,1,12</v>
      </c>
      <c r="C21" t="str">
        <f>第20关!$R$71</f>
        <v>2001,10,1|2001,10,2|2001,10,3|2001,10,4;2005,5,4|2002,10,5|2002,10,6|2002,10,7|2002,10,8;2005,5,8|2002,15,9|2002,15,10|2003,15,11|2003,15,12;2006,1,12</v>
      </c>
      <c r="D21">
        <v>2001</v>
      </c>
      <c r="E21">
        <v>2005</v>
      </c>
      <c r="F21">
        <v>2006</v>
      </c>
    </row>
    <row r="22" spans="1:6">
      <c r="A22" s="4">
        <v>21</v>
      </c>
      <c r="B22" t="str">
        <f>第21关!$M$71</f>
        <v>101,10,1|101,10,2|101,10,3|101,10,4;105,5,4|0,10,5|0,10,6|0,10,7|0,10,8;105,5,8|0,15,9|0,15,10|0,15,11|0,15,12;106,1,12</v>
      </c>
      <c r="C22" t="str">
        <f>第21关!$R$71</f>
        <v>101,10,1|101,10,2|101,10,3|101,10,4;105,5,4|0,10,5|0,10,6|0,10,7|0,10,8;105,5,8|0,15,9|0,15,10|0,15,11|0,15,12;106,1,12</v>
      </c>
      <c r="D22">
        <f>D2</f>
        <v>101</v>
      </c>
      <c r="E22">
        <f>E2</f>
        <v>105</v>
      </c>
      <c r="F22">
        <f>F2</f>
        <v>106</v>
      </c>
    </row>
    <row r="23" spans="1:6">
      <c r="A23" s="4">
        <v>22</v>
      </c>
      <c r="B23" t="str">
        <f>第22关!$M$71</f>
        <v>201,10,1|201,10,2|201,10,3|201,10,4;205,5,4|202,10,5|202,10,6|202,10,7|202,10,8;205,5,8|202,15,9|202,15,10|203,15,11|203,15,12;206,1,12</v>
      </c>
      <c r="C23" t="str">
        <f>第22关!$R$71</f>
        <v>201,10,1|201,10,2|201,10,3|201,10,4;205,5,4|202,10,5|202,10,6|202,10,7|202,10,8;205,5,8|202,15,9|202,15,10|203,15,11|203,15,12;206,1,12</v>
      </c>
      <c r="D23">
        <f t="shared" ref="D23:D51" si="0">D3</f>
        <v>201</v>
      </c>
      <c r="E23">
        <f t="shared" ref="E23:E51" si="1">E3</f>
        <v>205</v>
      </c>
      <c r="F23">
        <f t="shared" ref="F23:F51" si="2">F3</f>
        <v>206</v>
      </c>
    </row>
    <row r="24" spans="1:6">
      <c r="A24" s="4">
        <v>23</v>
      </c>
      <c r="B24" t="str">
        <f>B4</f>
        <v>301,10,1|301,10,2|301,10,3|301,10,4;305,5,4|302,5,5|302,10,6|302,10,7|302,10,8;305,5,8|302,15,9|302,15,10|303,15,11|303,15,12;306,1,12</v>
      </c>
      <c r="C24" t="str">
        <f>C4</f>
        <v>301,10,1|301,10,2|301,10,3|301,10,4;305,5,4|302,5,5|302,10,6|302,10,7|302,10,8;305,5,8|302,15,9|302,15,10|303,15,11|303,15,12;306,1,12</v>
      </c>
      <c r="D24">
        <f t="shared" si="0"/>
        <v>301</v>
      </c>
      <c r="E24">
        <f t="shared" si="1"/>
        <v>305</v>
      </c>
      <c r="F24">
        <f t="shared" si="2"/>
        <v>306</v>
      </c>
    </row>
    <row r="25" spans="1:6">
      <c r="A25" s="4">
        <v>24</v>
      </c>
      <c r="B25" t="str">
        <f t="shared" ref="B25:B51" si="3">B5</f>
        <v>401,10,1|401,10,2|401,10,3|401,10,4;405,5,4|402,10,5|402,10,6|402,10,7|402,10,8;405,5,8|402,15,9|402,15,10|403,15,11|403,15,12;406,1,12</v>
      </c>
      <c r="C25" t="str">
        <f t="shared" ref="C25:C51" si="4">C5</f>
        <v>401,10,1|401,10,2|401,10,3|401,10,4;405,5,4|402,10,5|402,10,6|402,10,7|402,10,8;405,5,8|402,15,9|402,15,10|403,15,11|403,15,12;406,1,12</v>
      </c>
      <c r="D25">
        <f t="shared" si="0"/>
        <v>401</v>
      </c>
      <c r="E25">
        <f t="shared" si="1"/>
        <v>405</v>
      </c>
      <c r="F25">
        <f t="shared" si="2"/>
        <v>406</v>
      </c>
    </row>
    <row r="26" spans="1:6">
      <c r="A26" s="4">
        <v>25</v>
      </c>
      <c r="B26" t="str">
        <f t="shared" si="3"/>
        <v>501,10,1|501,10,2|501,10,3|501,10,4;505,5,4|502,10,5|502,10,6|502,10,7|502,10,8;505,5,8|502,15,9|502,15,10|503,15,11|503,15,12;506,1,12</v>
      </c>
      <c r="C26" t="str">
        <f t="shared" si="4"/>
        <v>501,10,1|501,10,2|501,10,3|501,10,4;505,5,4|502,10,5|502,10,6|502,10,7|502,10,8;505,5,8|502,15,9|502,15,10|503,15,11|503,15,12;506,1,12</v>
      </c>
      <c r="D26">
        <f t="shared" si="0"/>
        <v>501</v>
      </c>
      <c r="E26">
        <f t="shared" si="1"/>
        <v>505</v>
      </c>
      <c r="F26">
        <f t="shared" si="2"/>
        <v>506</v>
      </c>
    </row>
    <row r="27" spans="1:6">
      <c r="A27" s="4">
        <v>26</v>
      </c>
      <c r="B27" t="str">
        <f t="shared" si="3"/>
        <v>601,10,1|601,10,2|601,10,3|601,10,4;605,5,4|602,10,5|602,10,6|602,10,7|602,10,8;605,5,8|602,15,9|602,15,10|603,15,11|603,15,12;606,1,12</v>
      </c>
      <c r="C27" t="str">
        <f t="shared" si="4"/>
        <v>601,10,1|601,10,2|601,10,3|601,10,4;605,5,4|602,10,5|602,10,6|602,10,7|602,10,8;605,5,8|602,15,9|602,15,10|603,15,11|603,15,12;606,1,12</v>
      </c>
      <c r="D27">
        <f t="shared" si="0"/>
        <v>601</v>
      </c>
      <c r="E27">
        <f t="shared" si="1"/>
        <v>605</v>
      </c>
      <c r="F27">
        <f t="shared" si="2"/>
        <v>606</v>
      </c>
    </row>
    <row r="28" spans="1:6">
      <c r="A28" s="4">
        <v>27</v>
      </c>
      <c r="B28" t="str">
        <f t="shared" si="3"/>
        <v>701,10,1|701,10,2|701,10,3|701,10,4;705,5,4|702,10,5|702,10,6|702,10,7|702,10,8;705,5,8|702,15,9|702,15,10|703,15,11|703,15,12;706,1,12</v>
      </c>
      <c r="C28" t="str">
        <f t="shared" si="4"/>
        <v>701,10,1|701,10,2|701,10,3|701,10,4;705,5,4|702,10,5|702,10,6|702,10,7|702,10,8;705,5,8|702,15,9|702,15,10|703,15,11|703,15,12;706,1,12</v>
      </c>
      <c r="D28">
        <f t="shared" si="0"/>
        <v>701</v>
      </c>
      <c r="E28">
        <f t="shared" si="1"/>
        <v>705</v>
      </c>
      <c r="F28">
        <f t="shared" si="2"/>
        <v>706</v>
      </c>
    </row>
    <row r="29" spans="1:6">
      <c r="A29" s="4">
        <v>28</v>
      </c>
      <c r="B29" t="str">
        <f t="shared" si="3"/>
        <v>801,10,1|801,10,2|801,10,3|801,10,4;805,5,4|802,10,5|802,10,6|802,10,7|802,10,8;805,5,8|802,15,9|802,15,10|803,15,11|803,15,12;806,1,12</v>
      </c>
      <c r="C29" t="str">
        <f t="shared" si="4"/>
        <v>801,10,1|801,10,2|801,10,3|801,10,4;805,5,4|802,10,5|802,10,6|802,10,7|802,10,8;805,5,8|802,15,9|802,15,10|803,15,11|803,15,12;806,1,12</v>
      </c>
      <c r="D29">
        <f t="shared" si="0"/>
        <v>801</v>
      </c>
      <c r="E29">
        <f t="shared" si="1"/>
        <v>805</v>
      </c>
      <c r="F29">
        <f t="shared" si="2"/>
        <v>806</v>
      </c>
    </row>
    <row r="30" spans="1:6">
      <c r="A30" s="4">
        <v>29</v>
      </c>
      <c r="B30" t="str">
        <f t="shared" si="3"/>
        <v>901,10,1|901,10,2|901,10,3|901,10,4;905,5,4|902,10,5|902,10,6|902,10,7|902,10,8;905,5,8|902,15,9|902,15,10|903,15,11|903,15,12;906,1,12</v>
      </c>
      <c r="C30" t="str">
        <f t="shared" si="4"/>
        <v>901,10,1|901,10,2|901,10,3|901,10,4;905,5,4|902,10,5|902,10,6|902,10,7|902,10,8;905,5,8|902,15,9|902,15,10|903,15,11|903,15,12;906,1,12</v>
      </c>
      <c r="D30">
        <f t="shared" si="0"/>
        <v>901</v>
      </c>
      <c r="E30">
        <f t="shared" si="1"/>
        <v>905</v>
      </c>
      <c r="F30">
        <f t="shared" si="2"/>
        <v>906</v>
      </c>
    </row>
    <row r="31" spans="1:6">
      <c r="A31" s="4">
        <v>30</v>
      </c>
      <c r="B31" t="str">
        <f t="shared" si="3"/>
        <v>1001,10,1|1001,10,2|1001,10,3|1001,10,4;1005,5,4|1002,10,5|1002,10,6|1002,10,7|1002,10,8;1005,5,8|1002,15,9|1002,15,10|1003,15,11|1003,15,12;1006,1,12</v>
      </c>
      <c r="C31" t="str">
        <f t="shared" si="4"/>
        <v>1001,10,1|1001,10,2|1001,10,3|1001,10,4;1005,5,4|1002,10,5|1002,10,6|1002,10,7|1002,10,8;1005,5,8|1002,15,9|1002,15,10|1003,15,11|1003,15,12;1006,1,12</v>
      </c>
      <c r="D31">
        <f t="shared" si="0"/>
        <v>1001</v>
      </c>
      <c r="E31">
        <f t="shared" si="1"/>
        <v>1005</v>
      </c>
      <c r="F31">
        <f t="shared" si="2"/>
        <v>1006</v>
      </c>
    </row>
    <row r="32" spans="1:6">
      <c r="A32" s="4">
        <v>31</v>
      </c>
      <c r="B32" t="str">
        <f t="shared" si="3"/>
        <v>1101,10,1|1101,10,2|1101,10,3|1101,10,4;1105,5,4|1102,10,5|1102,10,6|1102,10,7|1102,10,8;1105,5,8|1102,15,9|1102,15,10|1103,15,11|1103,15,12;1106,1,12</v>
      </c>
      <c r="C32" t="str">
        <f t="shared" si="4"/>
        <v>1101,10,1|1101,10,2|1101,10,3|1101,10,4;1105,5,4|1102,10,5|1102,10,6|1102,10,7|1102,10,8;1105,5,8|1102,15,9|1102,15,10|1103,15,11|1103,15,12;1106,1,12</v>
      </c>
      <c r="D32">
        <f t="shared" si="0"/>
        <v>1101</v>
      </c>
      <c r="E32">
        <f t="shared" si="1"/>
        <v>1105</v>
      </c>
      <c r="F32">
        <f t="shared" si="2"/>
        <v>1106</v>
      </c>
    </row>
    <row r="33" spans="1:6">
      <c r="A33" s="4">
        <v>32</v>
      </c>
      <c r="B33" t="str">
        <f t="shared" si="3"/>
        <v>1201,10,1|1201,10,2|1201,10,3|1201,10,4;1205,5,4|1202,10,5|1202,10,6|1202,10,7|1202,10,8;1205,5,8|1202,15,9|1202,15,10|1203,15,11|1203,15,12;1206,1,12</v>
      </c>
      <c r="C33" t="str">
        <f t="shared" si="4"/>
        <v>1201,10,1|1201,10,2|1201,10,3|1201,10,4;1205,5,4|1202,10,5|1202,10,6|1202,10,7|1202,10,8;1205,5,8|1202,15,9|1202,15,10|1203,15,11|1203,15,12;1206,1,12</v>
      </c>
      <c r="D33">
        <f t="shared" si="0"/>
        <v>1201</v>
      </c>
      <c r="E33">
        <f t="shared" si="1"/>
        <v>1205</v>
      </c>
      <c r="F33">
        <f t="shared" si="2"/>
        <v>1206</v>
      </c>
    </row>
    <row r="34" spans="1:6">
      <c r="A34" s="4">
        <v>33</v>
      </c>
      <c r="B34" t="str">
        <f t="shared" si="3"/>
        <v>1301,10,1|1301,10,2|1301,10,3|1301,10,4;1305,5,4|1302,10,5|1302,10,6|1302,10,7|1302,10,8;1305,5,8|1302,15,9|1302,15,10|1303,15,11|1303,15,12;1306,1,12</v>
      </c>
      <c r="C34" t="str">
        <f t="shared" si="4"/>
        <v>1301,10,1|1301,10,2|1301,10,3|1301,10,4;1305,5,4|1302,10,5|1302,10,6|1302,10,7|1302,10,8;1305,5,8|1302,15,9|1302,15,10|1303,15,11|1303,15,12;1306,1,12</v>
      </c>
      <c r="D34">
        <f t="shared" si="0"/>
        <v>1301</v>
      </c>
      <c r="E34">
        <f t="shared" si="1"/>
        <v>1305</v>
      </c>
      <c r="F34">
        <f t="shared" si="2"/>
        <v>1306</v>
      </c>
    </row>
    <row r="35" spans="1:6">
      <c r="A35" s="4">
        <v>34</v>
      </c>
      <c r="B35" t="str">
        <f t="shared" si="3"/>
        <v>1401,10,1|1401,10,2|1401,10,3|1401,10,4;1405,5,4|1402,10,5|1402,10,6|1402,10,7|1402,10,8;1405,5,8|1402,15,9|1402,15,10|1403,15,11|1403,15,12;1406,1,12</v>
      </c>
      <c r="C35" t="str">
        <f t="shared" si="4"/>
        <v>1401,10,1|1401,10,2|1401,10,3|1401,10,4;1405,5,4|1402,10,5|1402,10,6|1402,10,7|1402,10,8;1405,5,8|1402,15,9|1402,15,10|1403,15,11|1403,15,12;1406,1,12</v>
      </c>
      <c r="D35">
        <f t="shared" si="0"/>
        <v>1401</v>
      </c>
      <c r="E35">
        <f t="shared" si="1"/>
        <v>1405</v>
      </c>
      <c r="F35">
        <f t="shared" si="2"/>
        <v>1406</v>
      </c>
    </row>
    <row r="36" spans="1:6">
      <c r="A36" s="4">
        <v>35</v>
      </c>
      <c r="B36" t="str">
        <f t="shared" si="3"/>
        <v>1501,10,1|1501,10,2|1501,10,3|1501,10,4;1505,5,4|1502,10,5|1502,10,6|1502,10,7|1502,10,8;1505,5,8|1502,15,9|1502,15,10|1503,15,11|1503,15,12;1506,1,12</v>
      </c>
      <c r="C36" t="str">
        <f t="shared" si="4"/>
        <v>1501,10,1|1501,10,2|1501,10,3|1501,10,4;1505,5,4|1502,10,5|1502,10,6|1502,10,7|1502,10,8;1505,5,8|1502,15,9|1502,15,10|1503,15,11|1503,15,12;1506,1,12</v>
      </c>
      <c r="D36">
        <f t="shared" si="0"/>
        <v>1501</v>
      </c>
      <c r="E36">
        <f t="shared" si="1"/>
        <v>1505</v>
      </c>
      <c r="F36">
        <f t="shared" si="2"/>
        <v>1506</v>
      </c>
    </row>
    <row r="37" spans="1:6">
      <c r="A37" s="4">
        <v>36</v>
      </c>
      <c r="B37" t="str">
        <f t="shared" si="3"/>
        <v>1601,10,1|1601,10,2|1601,10,3|1601,10,4;1605,5,4|1602,10,5|1602,10,6|1602,10,7|1602,10,8;1605,5,8|1602,15,9|1602,15,10|1603,15,11|1603,15,12;1606,1,12</v>
      </c>
      <c r="C37" t="str">
        <f t="shared" si="4"/>
        <v>1601,10,1|1601,10,2|1601,10,3|1601,10,4;1605,5,4|1602,10,5|1602,10,6|1602,10,7|1602,10,8;1605,5,8|1602,15,9|1602,15,10|1603,15,11|1603,15,12;1606,1,12</v>
      </c>
      <c r="D37">
        <f t="shared" si="0"/>
        <v>1601</v>
      </c>
      <c r="E37">
        <f t="shared" si="1"/>
        <v>1605</v>
      </c>
      <c r="F37">
        <f t="shared" si="2"/>
        <v>1606</v>
      </c>
    </row>
    <row r="38" spans="1:6">
      <c r="A38" s="4">
        <v>37</v>
      </c>
      <c r="B38" t="str">
        <f t="shared" si="3"/>
        <v>1701,10,1|1701,10,2|1701,10,3|1701,10,4;1705,5,4|1702,10,5|1702,10,6|1702,10,7|1702,10,8;1705,5,8|1702,15,9|1702,15,10|1703,15,11|1703,15,12;1706,1,12</v>
      </c>
      <c r="C38" t="str">
        <f t="shared" si="4"/>
        <v>1701,10,1|1701,10,2|1701,10,3|1701,10,4;1705,5,4|1702,10,5|1702,10,6|1702,10,7|1702,10,8;1705,5,8|1702,15,9|1702,15,10|1703,15,11|1703,15,12;1706,1,12</v>
      </c>
      <c r="D38">
        <f t="shared" si="0"/>
        <v>1701</v>
      </c>
      <c r="E38">
        <f t="shared" si="1"/>
        <v>1705</v>
      </c>
      <c r="F38">
        <f t="shared" si="2"/>
        <v>1706</v>
      </c>
    </row>
    <row r="39" spans="1:6">
      <c r="A39" s="4">
        <v>38</v>
      </c>
      <c r="B39" t="str">
        <f t="shared" si="3"/>
        <v>1801,10,1|1801,10,2|1801,10,3|1801,10,4;1805,5,4|1802,10,5|1802,10,6|1802,10,7|1802,10,8;1805,5,8|1802,15,9|1802,15,10|1803,15,11|1803,15,12;1806,1,12</v>
      </c>
      <c r="C39" t="str">
        <f t="shared" si="4"/>
        <v>1801,10,1|1801,10,2|1801,10,3|1801,10,4;1805,5,4|1802,10,5|1802,10,6|1802,10,7|1802,10,8;1805,5,8|1802,15,9|1802,15,10|1803,15,11|1803,15,12;1806,1,12</v>
      </c>
      <c r="D39">
        <f t="shared" si="0"/>
        <v>1801</v>
      </c>
      <c r="E39">
        <f t="shared" si="1"/>
        <v>1805</v>
      </c>
      <c r="F39">
        <f t="shared" si="2"/>
        <v>1806</v>
      </c>
    </row>
    <row r="40" spans="1:6">
      <c r="A40" s="4">
        <v>39</v>
      </c>
      <c r="B40" t="str">
        <f t="shared" si="3"/>
        <v>1901,10,1|1901,10,2|1901,10,3|1901,10,4;1905,5,4|1902,10,5|1902,10,6|1902,10,7|1902,10,8;1905,5,8|1902,15,9|1902,15,10|1903,15,11|1903,15,12;1906,1,12</v>
      </c>
      <c r="C40" t="str">
        <f t="shared" si="4"/>
        <v>1901,10,1|1901,10,2|1901,10,3|1901,10,4;1905,5,4|1902,10,5|1902,10,6|1902,10,7|1902,10,8;1905,5,8|1902,15,9|1902,15,10|1903,15,11|1903,15,12;1906,1,12</v>
      </c>
      <c r="D40">
        <f t="shared" si="0"/>
        <v>1901</v>
      </c>
      <c r="E40">
        <f t="shared" si="1"/>
        <v>1905</v>
      </c>
      <c r="F40">
        <f t="shared" si="2"/>
        <v>1906</v>
      </c>
    </row>
    <row r="41" spans="1:6">
      <c r="A41" s="4">
        <v>40</v>
      </c>
      <c r="B41" t="str">
        <f t="shared" si="3"/>
        <v>2001,10,1|2001,10,2|2001,10,3|2001,10,4;2005,5,4|2002,10,5|2002,10,6|2002,10,7|2002,10,8;2005,5,8|2002,15,9|2002,15,10|2003,15,11|2003,15,12;2006,1,12</v>
      </c>
      <c r="C41" t="str">
        <f t="shared" si="4"/>
        <v>2001,10,1|2001,10,2|2001,10,3|2001,10,4;2005,5,4|2002,10,5|2002,10,6|2002,10,7|2002,10,8;2005,5,8|2002,15,9|2002,15,10|2003,15,11|2003,15,12;2006,1,12</v>
      </c>
      <c r="D41">
        <f t="shared" si="0"/>
        <v>2001</v>
      </c>
      <c r="E41">
        <f t="shared" si="1"/>
        <v>2005</v>
      </c>
      <c r="F41">
        <f t="shared" si="2"/>
        <v>2006</v>
      </c>
    </row>
    <row r="42" spans="1:6">
      <c r="A42" s="4">
        <v>41</v>
      </c>
      <c r="B42" t="str">
        <f t="shared" si="3"/>
        <v>101,10,1|101,10,2|101,10,3|101,10,4;105,5,4|0,10,5|0,10,6|0,10,7|0,10,8;105,5,8|0,15,9|0,15,10|0,15,11|0,15,12;106,1,12</v>
      </c>
      <c r="C42" t="str">
        <f t="shared" si="4"/>
        <v>101,10,1|101,10,2|101,10,3|101,10,4;105,5,4|0,10,5|0,10,6|0,10,7|0,10,8;105,5,8|0,15,9|0,15,10|0,15,11|0,15,12;106,1,12</v>
      </c>
      <c r="D42">
        <f t="shared" si="0"/>
        <v>101</v>
      </c>
      <c r="E42">
        <f t="shared" si="1"/>
        <v>105</v>
      </c>
      <c r="F42">
        <f t="shared" si="2"/>
        <v>106</v>
      </c>
    </row>
    <row r="43" spans="1:6">
      <c r="A43" s="4">
        <v>42</v>
      </c>
      <c r="B43" t="str">
        <f t="shared" si="3"/>
        <v>201,10,1|201,10,2|201,10,3|201,10,4;205,5,4|202,10,5|202,10,6|202,10,7|202,10,8;205,5,8|202,15,9|202,15,10|203,15,11|203,15,12;206,1,12</v>
      </c>
      <c r="C43" t="str">
        <f t="shared" si="4"/>
        <v>201,10,1|201,10,2|201,10,3|201,10,4;205,5,4|202,10,5|202,10,6|202,10,7|202,10,8;205,5,8|202,15,9|202,15,10|203,15,11|203,15,12;206,1,12</v>
      </c>
      <c r="D43">
        <f t="shared" si="0"/>
        <v>201</v>
      </c>
      <c r="E43">
        <f t="shared" si="1"/>
        <v>205</v>
      </c>
      <c r="F43">
        <f t="shared" si="2"/>
        <v>206</v>
      </c>
    </row>
    <row r="44" spans="1:6">
      <c r="A44" s="4">
        <v>43</v>
      </c>
      <c r="B44" t="str">
        <f t="shared" si="3"/>
        <v>301,10,1|301,10,2|301,10,3|301,10,4;305,5,4|302,5,5|302,10,6|302,10,7|302,10,8;305,5,8|302,15,9|302,15,10|303,15,11|303,15,12;306,1,12</v>
      </c>
      <c r="C44" t="str">
        <f t="shared" si="4"/>
        <v>301,10,1|301,10,2|301,10,3|301,10,4;305,5,4|302,5,5|302,10,6|302,10,7|302,10,8;305,5,8|302,15,9|302,15,10|303,15,11|303,15,12;306,1,12</v>
      </c>
      <c r="D44">
        <f t="shared" si="0"/>
        <v>301</v>
      </c>
      <c r="E44">
        <f t="shared" si="1"/>
        <v>305</v>
      </c>
      <c r="F44">
        <f t="shared" si="2"/>
        <v>306</v>
      </c>
    </row>
    <row r="45" spans="1:6">
      <c r="A45" s="4">
        <v>44</v>
      </c>
      <c r="B45" t="str">
        <f t="shared" si="3"/>
        <v>401,10,1|401,10,2|401,10,3|401,10,4;405,5,4|402,10,5|402,10,6|402,10,7|402,10,8;405,5,8|402,15,9|402,15,10|403,15,11|403,15,12;406,1,12</v>
      </c>
      <c r="C45" t="str">
        <f t="shared" si="4"/>
        <v>401,10,1|401,10,2|401,10,3|401,10,4;405,5,4|402,10,5|402,10,6|402,10,7|402,10,8;405,5,8|402,15,9|402,15,10|403,15,11|403,15,12;406,1,12</v>
      </c>
      <c r="D45">
        <f t="shared" si="0"/>
        <v>401</v>
      </c>
      <c r="E45">
        <f t="shared" si="1"/>
        <v>405</v>
      </c>
      <c r="F45">
        <f t="shared" si="2"/>
        <v>406</v>
      </c>
    </row>
    <row r="46" spans="1:6">
      <c r="A46" s="4">
        <v>45</v>
      </c>
      <c r="B46" t="str">
        <f t="shared" si="3"/>
        <v>501,10,1|501,10,2|501,10,3|501,10,4;505,5,4|502,10,5|502,10,6|502,10,7|502,10,8;505,5,8|502,15,9|502,15,10|503,15,11|503,15,12;506,1,12</v>
      </c>
      <c r="C46" t="str">
        <f t="shared" si="4"/>
        <v>501,10,1|501,10,2|501,10,3|501,10,4;505,5,4|502,10,5|502,10,6|502,10,7|502,10,8;505,5,8|502,15,9|502,15,10|503,15,11|503,15,12;506,1,12</v>
      </c>
      <c r="D46">
        <f t="shared" si="0"/>
        <v>501</v>
      </c>
      <c r="E46">
        <f t="shared" si="1"/>
        <v>505</v>
      </c>
      <c r="F46">
        <f t="shared" si="2"/>
        <v>506</v>
      </c>
    </row>
    <row r="47" spans="1:6">
      <c r="A47" s="4">
        <v>46</v>
      </c>
      <c r="B47" t="str">
        <f t="shared" si="3"/>
        <v>601,10,1|601,10,2|601,10,3|601,10,4;605,5,4|602,10,5|602,10,6|602,10,7|602,10,8;605,5,8|602,15,9|602,15,10|603,15,11|603,15,12;606,1,12</v>
      </c>
      <c r="C47" t="str">
        <f t="shared" si="4"/>
        <v>601,10,1|601,10,2|601,10,3|601,10,4;605,5,4|602,10,5|602,10,6|602,10,7|602,10,8;605,5,8|602,15,9|602,15,10|603,15,11|603,15,12;606,1,12</v>
      </c>
      <c r="D47">
        <f t="shared" si="0"/>
        <v>601</v>
      </c>
      <c r="E47">
        <f t="shared" si="1"/>
        <v>605</v>
      </c>
      <c r="F47">
        <f t="shared" si="2"/>
        <v>606</v>
      </c>
    </row>
    <row r="48" spans="1:6">
      <c r="A48" s="4">
        <v>47</v>
      </c>
      <c r="B48" t="str">
        <f t="shared" si="3"/>
        <v>701,10,1|701,10,2|701,10,3|701,10,4;705,5,4|702,10,5|702,10,6|702,10,7|702,10,8;705,5,8|702,15,9|702,15,10|703,15,11|703,15,12;706,1,12</v>
      </c>
      <c r="C48" t="str">
        <f t="shared" si="4"/>
        <v>701,10,1|701,10,2|701,10,3|701,10,4;705,5,4|702,10,5|702,10,6|702,10,7|702,10,8;705,5,8|702,15,9|702,15,10|703,15,11|703,15,12;706,1,12</v>
      </c>
      <c r="D48">
        <f t="shared" si="0"/>
        <v>701</v>
      </c>
      <c r="E48">
        <f t="shared" si="1"/>
        <v>705</v>
      </c>
      <c r="F48">
        <f t="shared" si="2"/>
        <v>706</v>
      </c>
    </row>
    <row r="49" spans="1:6">
      <c r="A49" s="4">
        <v>48</v>
      </c>
      <c r="B49" t="str">
        <f t="shared" si="3"/>
        <v>801,10,1|801,10,2|801,10,3|801,10,4;805,5,4|802,10,5|802,10,6|802,10,7|802,10,8;805,5,8|802,15,9|802,15,10|803,15,11|803,15,12;806,1,12</v>
      </c>
      <c r="C49" t="str">
        <f t="shared" si="4"/>
        <v>801,10,1|801,10,2|801,10,3|801,10,4;805,5,4|802,10,5|802,10,6|802,10,7|802,10,8;805,5,8|802,15,9|802,15,10|803,15,11|803,15,12;806,1,12</v>
      </c>
      <c r="D49">
        <f t="shared" si="0"/>
        <v>801</v>
      </c>
      <c r="E49">
        <f t="shared" si="1"/>
        <v>805</v>
      </c>
      <c r="F49">
        <f t="shared" si="2"/>
        <v>806</v>
      </c>
    </row>
    <row r="50" spans="1:6">
      <c r="A50" s="4">
        <v>49</v>
      </c>
      <c r="B50" t="str">
        <f t="shared" si="3"/>
        <v>901,10,1|901,10,2|901,10,3|901,10,4;905,5,4|902,10,5|902,10,6|902,10,7|902,10,8;905,5,8|902,15,9|902,15,10|903,15,11|903,15,12;906,1,12</v>
      </c>
      <c r="C50" t="str">
        <f t="shared" si="4"/>
        <v>901,10,1|901,10,2|901,10,3|901,10,4;905,5,4|902,10,5|902,10,6|902,10,7|902,10,8;905,5,8|902,15,9|902,15,10|903,15,11|903,15,12;906,1,12</v>
      </c>
      <c r="D50">
        <f t="shared" si="0"/>
        <v>901</v>
      </c>
      <c r="E50">
        <f t="shared" si="1"/>
        <v>905</v>
      </c>
      <c r="F50">
        <f t="shared" si="2"/>
        <v>906</v>
      </c>
    </row>
    <row r="51" spans="1:6">
      <c r="A51" s="4">
        <v>50</v>
      </c>
      <c r="B51" t="str">
        <f t="shared" si="3"/>
        <v>1001,10,1|1001,10,2|1001,10,3|1001,10,4;1005,5,4|1002,10,5|1002,10,6|1002,10,7|1002,10,8;1005,5,8|1002,15,9|1002,15,10|1003,15,11|1003,15,12;1006,1,12</v>
      </c>
      <c r="C51" t="str">
        <f t="shared" si="4"/>
        <v>1001,10,1|1001,10,2|1001,10,3|1001,10,4;1005,5,4|1002,10,5|1002,10,6|1002,10,7|1002,10,8;1005,5,8|1002,15,9|1002,15,10|1003,15,11|1003,15,12;1006,1,12</v>
      </c>
      <c r="D51">
        <f t="shared" si="0"/>
        <v>1001</v>
      </c>
      <c r="E51">
        <f t="shared" si="1"/>
        <v>1005</v>
      </c>
      <c r="F51">
        <f t="shared" si="2"/>
        <v>1006</v>
      </c>
    </row>
    <row r="52" spans="1:3">
      <c r="A52" s="4">
        <v>51</v>
      </c>
      <c r="B52" t="str">
        <f t="shared" ref="B52:B91" si="5">B32</f>
        <v>1101,10,1|1101,10,2|1101,10,3|1101,10,4;1105,5,4|1102,10,5|1102,10,6|1102,10,7|1102,10,8;1105,5,8|1102,15,9|1102,15,10|1103,15,11|1103,15,12;1106,1,12</v>
      </c>
      <c r="C52" t="str">
        <f t="shared" ref="C52:C91" si="6">C32</f>
        <v>1101,10,1|1101,10,2|1101,10,3|1101,10,4;1105,5,4|1102,10,5|1102,10,6|1102,10,7|1102,10,8;1105,5,8|1102,15,9|1102,15,10|1103,15,11|1103,15,12;1106,1,12</v>
      </c>
    </row>
    <row r="53" spans="1:3">
      <c r="A53" s="4">
        <v>52</v>
      </c>
      <c r="B53" t="str">
        <f t="shared" si="5"/>
        <v>1201,10,1|1201,10,2|1201,10,3|1201,10,4;1205,5,4|1202,10,5|1202,10,6|1202,10,7|1202,10,8;1205,5,8|1202,15,9|1202,15,10|1203,15,11|1203,15,12;1206,1,12</v>
      </c>
      <c r="C53" t="str">
        <f t="shared" si="6"/>
        <v>1201,10,1|1201,10,2|1201,10,3|1201,10,4;1205,5,4|1202,10,5|1202,10,6|1202,10,7|1202,10,8;1205,5,8|1202,15,9|1202,15,10|1203,15,11|1203,15,12;1206,1,12</v>
      </c>
    </row>
    <row r="54" spans="1:3">
      <c r="A54" s="4">
        <v>53</v>
      </c>
      <c r="B54" t="str">
        <f t="shared" si="5"/>
        <v>1301,10,1|1301,10,2|1301,10,3|1301,10,4;1305,5,4|1302,10,5|1302,10,6|1302,10,7|1302,10,8;1305,5,8|1302,15,9|1302,15,10|1303,15,11|1303,15,12;1306,1,12</v>
      </c>
      <c r="C54" t="str">
        <f t="shared" si="6"/>
        <v>1301,10,1|1301,10,2|1301,10,3|1301,10,4;1305,5,4|1302,10,5|1302,10,6|1302,10,7|1302,10,8;1305,5,8|1302,15,9|1302,15,10|1303,15,11|1303,15,12;1306,1,12</v>
      </c>
    </row>
    <row r="55" spans="1:3">
      <c r="A55" s="4">
        <v>54</v>
      </c>
      <c r="B55" t="str">
        <f t="shared" si="5"/>
        <v>1401,10,1|1401,10,2|1401,10,3|1401,10,4;1405,5,4|1402,10,5|1402,10,6|1402,10,7|1402,10,8;1405,5,8|1402,15,9|1402,15,10|1403,15,11|1403,15,12;1406,1,12</v>
      </c>
      <c r="C55" t="str">
        <f t="shared" si="6"/>
        <v>1401,10,1|1401,10,2|1401,10,3|1401,10,4;1405,5,4|1402,10,5|1402,10,6|1402,10,7|1402,10,8;1405,5,8|1402,15,9|1402,15,10|1403,15,11|1403,15,12;1406,1,12</v>
      </c>
    </row>
    <row r="56" spans="1:3">
      <c r="A56" s="4">
        <v>55</v>
      </c>
      <c r="B56" t="str">
        <f t="shared" si="5"/>
        <v>1501,10,1|1501,10,2|1501,10,3|1501,10,4;1505,5,4|1502,10,5|1502,10,6|1502,10,7|1502,10,8;1505,5,8|1502,15,9|1502,15,10|1503,15,11|1503,15,12;1506,1,12</v>
      </c>
      <c r="C56" t="str">
        <f t="shared" si="6"/>
        <v>1501,10,1|1501,10,2|1501,10,3|1501,10,4;1505,5,4|1502,10,5|1502,10,6|1502,10,7|1502,10,8;1505,5,8|1502,15,9|1502,15,10|1503,15,11|1503,15,12;1506,1,12</v>
      </c>
    </row>
    <row r="57" spans="1:3">
      <c r="A57" s="4">
        <v>56</v>
      </c>
      <c r="B57" t="str">
        <f t="shared" si="5"/>
        <v>1601,10,1|1601,10,2|1601,10,3|1601,10,4;1605,5,4|1602,10,5|1602,10,6|1602,10,7|1602,10,8;1605,5,8|1602,15,9|1602,15,10|1603,15,11|1603,15,12;1606,1,12</v>
      </c>
      <c r="C57" t="str">
        <f t="shared" si="6"/>
        <v>1601,10,1|1601,10,2|1601,10,3|1601,10,4;1605,5,4|1602,10,5|1602,10,6|1602,10,7|1602,10,8;1605,5,8|1602,15,9|1602,15,10|1603,15,11|1603,15,12;1606,1,12</v>
      </c>
    </row>
    <row r="58" spans="1:3">
      <c r="A58" s="4">
        <v>57</v>
      </c>
      <c r="B58" t="str">
        <f t="shared" si="5"/>
        <v>1701,10,1|1701,10,2|1701,10,3|1701,10,4;1705,5,4|1702,10,5|1702,10,6|1702,10,7|1702,10,8;1705,5,8|1702,15,9|1702,15,10|1703,15,11|1703,15,12;1706,1,12</v>
      </c>
      <c r="C58" t="str">
        <f t="shared" si="6"/>
        <v>1701,10,1|1701,10,2|1701,10,3|1701,10,4;1705,5,4|1702,10,5|1702,10,6|1702,10,7|1702,10,8;1705,5,8|1702,15,9|1702,15,10|1703,15,11|1703,15,12;1706,1,12</v>
      </c>
    </row>
    <row r="59" spans="1:3">
      <c r="A59" s="4">
        <v>58</v>
      </c>
      <c r="B59" t="str">
        <f t="shared" si="5"/>
        <v>1801,10,1|1801,10,2|1801,10,3|1801,10,4;1805,5,4|1802,10,5|1802,10,6|1802,10,7|1802,10,8;1805,5,8|1802,15,9|1802,15,10|1803,15,11|1803,15,12;1806,1,12</v>
      </c>
      <c r="C59" t="str">
        <f t="shared" si="6"/>
        <v>1801,10,1|1801,10,2|1801,10,3|1801,10,4;1805,5,4|1802,10,5|1802,10,6|1802,10,7|1802,10,8;1805,5,8|1802,15,9|1802,15,10|1803,15,11|1803,15,12;1806,1,12</v>
      </c>
    </row>
    <row r="60" spans="1:3">
      <c r="A60" s="4">
        <v>59</v>
      </c>
      <c r="B60" t="str">
        <f t="shared" si="5"/>
        <v>1901,10,1|1901,10,2|1901,10,3|1901,10,4;1905,5,4|1902,10,5|1902,10,6|1902,10,7|1902,10,8;1905,5,8|1902,15,9|1902,15,10|1903,15,11|1903,15,12;1906,1,12</v>
      </c>
      <c r="C60" t="str">
        <f t="shared" si="6"/>
        <v>1901,10,1|1901,10,2|1901,10,3|1901,10,4;1905,5,4|1902,10,5|1902,10,6|1902,10,7|1902,10,8;1905,5,8|1902,15,9|1902,15,10|1903,15,11|1903,15,12;1906,1,12</v>
      </c>
    </row>
    <row r="61" spans="1:3">
      <c r="A61" s="4">
        <v>60</v>
      </c>
      <c r="B61" t="str">
        <f t="shared" si="5"/>
        <v>2001,10,1|2001,10,2|2001,10,3|2001,10,4;2005,5,4|2002,10,5|2002,10,6|2002,10,7|2002,10,8;2005,5,8|2002,15,9|2002,15,10|2003,15,11|2003,15,12;2006,1,12</v>
      </c>
      <c r="C61" t="str">
        <f t="shared" si="6"/>
        <v>2001,10,1|2001,10,2|2001,10,3|2001,10,4;2005,5,4|2002,10,5|2002,10,6|2002,10,7|2002,10,8;2005,5,8|2002,15,9|2002,15,10|2003,15,11|2003,15,12;2006,1,12</v>
      </c>
    </row>
    <row r="62" spans="1:3">
      <c r="A62" s="4">
        <v>61</v>
      </c>
      <c r="B62" t="str">
        <f t="shared" si="5"/>
        <v>101,10,1|101,10,2|101,10,3|101,10,4;105,5,4|0,10,5|0,10,6|0,10,7|0,10,8;105,5,8|0,15,9|0,15,10|0,15,11|0,15,12;106,1,12</v>
      </c>
      <c r="C62" t="str">
        <f t="shared" si="6"/>
        <v>101,10,1|101,10,2|101,10,3|101,10,4;105,5,4|0,10,5|0,10,6|0,10,7|0,10,8;105,5,8|0,15,9|0,15,10|0,15,11|0,15,12;106,1,12</v>
      </c>
    </row>
    <row r="63" spans="1:3">
      <c r="A63" s="4">
        <v>62</v>
      </c>
      <c r="B63" t="str">
        <f t="shared" si="5"/>
        <v>201,10,1|201,10,2|201,10,3|201,10,4;205,5,4|202,10,5|202,10,6|202,10,7|202,10,8;205,5,8|202,15,9|202,15,10|203,15,11|203,15,12;206,1,12</v>
      </c>
      <c r="C63" t="str">
        <f t="shared" si="6"/>
        <v>201,10,1|201,10,2|201,10,3|201,10,4;205,5,4|202,10,5|202,10,6|202,10,7|202,10,8;205,5,8|202,15,9|202,15,10|203,15,11|203,15,12;206,1,12</v>
      </c>
    </row>
    <row r="64" spans="1:3">
      <c r="A64" s="4">
        <v>63</v>
      </c>
      <c r="B64" t="str">
        <f t="shared" si="5"/>
        <v>301,10,1|301,10,2|301,10,3|301,10,4;305,5,4|302,5,5|302,10,6|302,10,7|302,10,8;305,5,8|302,15,9|302,15,10|303,15,11|303,15,12;306,1,12</v>
      </c>
      <c r="C64" t="str">
        <f t="shared" si="6"/>
        <v>301,10,1|301,10,2|301,10,3|301,10,4;305,5,4|302,5,5|302,10,6|302,10,7|302,10,8;305,5,8|302,15,9|302,15,10|303,15,11|303,15,12;306,1,12</v>
      </c>
    </row>
    <row r="65" spans="1:3">
      <c r="A65" s="4">
        <v>64</v>
      </c>
      <c r="B65" t="str">
        <f t="shared" si="5"/>
        <v>401,10,1|401,10,2|401,10,3|401,10,4;405,5,4|402,10,5|402,10,6|402,10,7|402,10,8;405,5,8|402,15,9|402,15,10|403,15,11|403,15,12;406,1,12</v>
      </c>
      <c r="C65" t="str">
        <f t="shared" si="6"/>
        <v>401,10,1|401,10,2|401,10,3|401,10,4;405,5,4|402,10,5|402,10,6|402,10,7|402,10,8;405,5,8|402,15,9|402,15,10|403,15,11|403,15,12;406,1,12</v>
      </c>
    </row>
    <row r="66" spans="1:3">
      <c r="A66" s="4">
        <v>65</v>
      </c>
      <c r="B66" t="str">
        <f t="shared" si="5"/>
        <v>501,10,1|501,10,2|501,10,3|501,10,4;505,5,4|502,10,5|502,10,6|502,10,7|502,10,8;505,5,8|502,15,9|502,15,10|503,15,11|503,15,12;506,1,12</v>
      </c>
      <c r="C66" t="str">
        <f t="shared" si="6"/>
        <v>501,10,1|501,10,2|501,10,3|501,10,4;505,5,4|502,10,5|502,10,6|502,10,7|502,10,8;505,5,8|502,15,9|502,15,10|503,15,11|503,15,12;506,1,12</v>
      </c>
    </row>
    <row r="67" spans="1:3">
      <c r="A67" s="4">
        <v>66</v>
      </c>
      <c r="B67" t="str">
        <f t="shared" si="5"/>
        <v>601,10,1|601,10,2|601,10,3|601,10,4;605,5,4|602,10,5|602,10,6|602,10,7|602,10,8;605,5,8|602,15,9|602,15,10|603,15,11|603,15,12;606,1,12</v>
      </c>
      <c r="C67" t="str">
        <f t="shared" si="6"/>
        <v>601,10,1|601,10,2|601,10,3|601,10,4;605,5,4|602,10,5|602,10,6|602,10,7|602,10,8;605,5,8|602,15,9|602,15,10|603,15,11|603,15,12;606,1,12</v>
      </c>
    </row>
    <row r="68" spans="1:3">
      <c r="A68" s="4">
        <v>67</v>
      </c>
      <c r="B68" t="str">
        <f t="shared" si="5"/>
        <v>701,10,1|701,10,2|701,10,3|701,10,4;705,5,4|702,10,5|702,10,6|702,10,7|702,10,8;705,5,8|702,15,9|702,15,10|703,15,11|703,15,12;706,1,12</v>
      </c>
      <c r="C68" t="str">
        <f t="shared" si="6"/>
        <v>701,10,1|701,10,2|701,10,3|701,10,4;705,5,4|702,10,5|702,10,6|702,10,7|702,10,8;705,5,8|702,15,9|702,15,10|703,15,11|703,15,12;706,1,12</v>
      </c>
    </row>
    <row r="69" spans="1:3">
      <c r="A69" s="4">
        <v>68</v>
      </c>
      <c r="B69" t="str">
        <f t="shared" si="5"/>
        <v>801,10,1|801,10,2|801,10,3|801,10,4;805,5,4|802,10,5|802,10,6|802,10,7|802,10,8;805,5,8|802,15,9|802,15,10|803,15,11|803,15,12;806,1,12</v>
      </c>
      <c r="C69" t="str">
        <f t="shared" si="6"/>
        <v>801,10,1|801,10,2|801,10,3|801,10,4;805,5,4|802,10,5|802,10,6|802,10,7|802,10,8;805,5,8|802,15,9|802,15,10|803,15,11|803,15,12;806,1,12</v>
      </c>
    </row>
    <row r="70" spans="1:3">
      <c r="A70" s="4">
        <v>69</v>
      </c>
      <c r="B70" t="str">
        <f t="shared" si="5"/>
        <v>901,10,1|901,10,2|901,10,3|901,10,4;905,5,4|902,10,5|902,10,6|902,10,7|902,10,8;905,5,8|902,15,9|902,15,10|903,15,11|903,15,12;906,1,12</v>
      </c>
      <c r="C70" t="str">
        <f t="shared" si="6"/>
        <v>901,10,1|901,10,2|901,10,3|901,10,4;905,5,4|902,10,5|902,10,6|902,10,7|902,10,8;905,5,8|902,15,9|902,15,10|903,15,11|903,15,12;906,1,12</v>
      </c>
    </row>
    <row r="71" spans="1:3">
      <c r="A71" s="4">
        <v>70</v>
      </c>
      <c r="B71" t="str">
        <f t="shared" si="5"/>
        <v>1001,10,1|1001,10,2|1001,10,3|1001,10,4;1005,5,4|1002,10,5|1002,10,6|1002,10,7|1002,10,8;1005,5,8|1002,15,9|1002,15,10|1003,15,11|1003,15,12;1006,1,12</v>
      </c>
      <c r="C71" t="str">
        <f t="shared" si="6"/>
        <v>1001,10,1|1001,10,2|1001,10,3|1001,10,4;1005,5,4|1002,10,5|1002,10,6|1002,10,7|1002,10,8;1005,5,8|1002,15,9|1002,15,10|1003,15,11|1003,15,12;1006,1,12</v>
      </c>
    </row>
    <row r="72" spans="1:3">
      <c r="A72" s="4">
        <v>71</v>
      </c>
      <c r="B72" t="str">
        <f t="shared" si="5"/>
        <v>1101,10,1|1101,10,2|1101,10,3|1101,10,4;1105,5,4|1102,10,5|1102,10,6|1102,10,7|1102,10,8;1105,5,8|1102,15,9|1102,15,10|1103,15,11|1103,15,12;1106,1,12</v>
      </c>
      <c r="C72" t="str">
        <f t="shared" si="6"/>
        <v>1101,10,1|1101,10,2|1101,10,3|1101,10,4;1105,5,4|1102,10,5|1102,10,6|1102,10,7|1102,10,8;1105,5,8|1102,15,9|1102,15,10|1103,15,11|1103,15,12;1106,1,12</v>
      </c>
    </row>
    <row r="73" spans="1:3">
      <c r="A73" s="4">
        <v>72</v>
      </c>
      <c r="B73" t="str">
        <f t="shared" si="5"/>
        <v>1201,10,1|1201,10,2|1201,10,3|1201,10,4;1205,5,4|1202,10,5|1202,10,6|1202,10,7|1202,10,8;1205,5,8|1202,15,9|1202,15,10|1203,15,11|1203,15,12;1206,1,12</v>
      </c>
      <c r="C73" t="str">
        <f t="shared" si="6"/>
        <v>1201,10,1|1201,10,2|1201,10,3|1201,10,4;1205,5,4|1202,10,5|1202,10,6|1202,10,7|1202,10,8;1205,5,8|1202,15,9|1202,15,10|1203,15,11|1203,15,12;1206,1,12</v>
      </c>
    </row>
    <row r="74" spans="1:3">
      <c r="A74" s="4">
        <v>73</v>
      </c>
      <c r="B74" t="str">
        <f t="shared" si="5"/>
        <v>1301,10,1|1301,10,2|1301,10,3|1301,10,4;1305,5,4|1302,10,5|1302,10,6|1302,10,7|1302,10,8;1305,5,8|1302,15,9|1302,15,10|1303,15,11|1303,15,12;1306,1,12</v>
      </c>
      <c r="C74" t="str">
        <f t="shared" si="6"/>
        <v>1301,10,1|1301,10,2|1301,10,3|1301,10,4;1305,5,4|1302,10,5|1302,10,6|1302,10,7|1302,10,8;1305,5,8|1302,15,9|1302,15,10|1303,15,11|1303,15,12;1306,1,12</v>
      </c>
    </row>
    <row r="75" spans="1:3">
      <c r="A75" s="4">
        <v>74</v>
      </c>
      <c r="B75" t="str">
        <f t="shared" si="5"/>
        <v>1401,10,1|1401,10,2|1401,10,3|1401,10,4;1405,5,4|1402,10,5|1402,10,6|1402,10,7|1402,10,8;1405,5,8|1402,15,9|1402,15,10|1403,15,11|1403,15,12;1406,1,12</v>
      </c>
      <c r="C75" t="str">
        <f t="shared" si="6"/>
        <v>1401,10,1|1401,10,2|1401,10,3|1401,10,4;1405,5,4|1402,10,5|1402,10,6|1402,10,7|1402,10,8;1405,5,8|1402,15,9|1402,15,10|1403,15,11|1403,15,12;1406,1,12</v>
      </c>
    </row>
    <row r="76" spans="1:3">
      <c r="A76" s="4">
        <v>75</v>
      </c>
      <c r="B76" t="str">
        <f t="shared" si="5"/>
        <v>1501,10,1|1501,10,2|1501,10,3|1501,10,4;1505,5,4|1502,10,5|1502,10,6|1502,10,7|1502,10,8;1505,5,8|1502,15,9|1502,15,10|1503,15,11|1503,15,12;1506,1,12</v>
      </c>
      <c r="C76" t="str">
        <f t="shared" si="6"/>
        <v>1501,10,1|1501,10,2|1501,10,3|1501,10,4;1505,5,4|1502,10,5|1502,10,6|1502,10,7|1502,10,8;1505,5,8|1502,15,9|1502,15,10|1503,15,11|1503,15,12;1506,1,12</v>
      </c>
    </row>
    <row r="77" spans="1:3">
      <c r="A77" s="4">
        <v>76</v>
      </c>
      <c r="B77" t="str">
        <f t="shared" si="5"/>
        <v>1601,10,1|1601,10,2|1601,10,3|1601,10,4;1605,5,4|1602,10,5|1602,10,6|1602,10,7|1602,10,8;1605,5,8|1602,15,9|1602,15,10|1603,15,11|1603,15,12;1606,1,12</v>
      </c>
      <c r="C77" t="str">
        <f t="shared" si="6"/>
        <v>1601,10,1|1601,10,2|1601,10,3|1601,10,4;1605,5,4|1602,10,5|1602,10,6|1602,10,7|1602,10,8;1605,5,8|1602,15,9|1602,15,10|1603,15,11|1603,15,12;1606,1,12</v>
      </c>
    </row>
    <row r="78" spans="1:3">
      <c r="A78" s="4">
        <v>77</v>
      </c>
      <c r="B78" t="str">
        <f t="shared" si="5"/>
        <v>1701,10,1|1701,10,2|1701,10,3|1701,10,4;1705,5,4|1702,10,5|1702,10,6|1702,10,7|1702,10,8;1705,5,8|1702,15,9|1702,15,10|1703,15,11|1703,15,12;1706,1,12</v>
      </c>
      <c r="C78" t="str">
        <f t="shared" si="6"/>
        <v>1701,10,1|1701,10,2|1701,10,3|1701,10,4;1705,5,4|1702,10,5|1702,10,6|1702,10,7|1702,10,8;1705,5,8|1702,15,9|1702,15,10|1703,15,11|1703,15,12;1706,1,12</v>
      </c>
    </row>
    <row r="79" spans="1:3">
      <c r="A79" s="4">
        <v>78</v>
      </c>
      <c r="B79" t="str">
        <f t="shared" si="5"/>
        <v>1801,10,1|1801,10,2|1801,10,3|1801,10,4;1805,5,4|1802,10,5|1802,10,6|1802,10,7|1802,10,8;1805,5,8|1802,15,9|1802,15,10|1803,15,11|1803,15,12;1806,1,12</v>
      </c>
      <c r="C79" t="str">
        <f t="shared" si="6"/>
        <v>1801,10,1|1801,10,2|1801,10,3|1801,10,4;1805,5,4|1802,10,5|1802,10,6|1802,10,7|1802,10,8;1805,5,8|1802,15,9|1802,15,10|1803,15,11|1803,15,12;1806,1,12</v>
      </c>
    </row>
    <row r="80" spans="1:3">
      <c r="A80" s="4">
        <v>79</v>
      </c>
      <c r="B80" t="str">
        <f t="shared" si="5"/>
        <v>1901,10,1|1901,10,2|1901,10,3|1901,10,4;1905,5,4|1902,10,5|1902,10,6|1902,10,7|1902,10,8;1905,5,8|1902,15,9|1902,15,10|1903,15,11|1903,15,12;1906,1,12</v>
      </c>
      <c r="C80" t="str">
        <f t="shared" si="6"/>
        <v>1901,10,1|1901,10,2|1901,10,3|1901,10,4;1905,5,4|1902,10,5|1902,10,6|1902,10,7|1902,10,8;1905,5,8|1902,15,9|1902,15,10|1903,15,11|1903,15,12;1906,1,12</v>
      </c>
    </row>
    <row r="81" spans="1:3">
      <c r="A81" s="4">
        <v>80</v>
      </c>
      <c r="B81" t="str">
        <f t="shared" si="5"/>
        <v>2001,10,1|2001,10,2|2001,10,3|2001,10,4;2005,5,4|2002,10,5|2002,10,6|2002,10,7|2002,10,8;2005,5,8|2002,15,9|2002,15,10|2003,15,11|2003,15,12;2006,1,12</v>
      </c>
      <c r="C81" t="str">
        <f t="shared" si="6"/>
        <v>2001,10,1|2001,10,2|2001,10,3|2001,10,4;2005,5,4|2002,10,5|2002,10,6|2002,10,7|2002,10,8;2005,5,8|2002,15,9|2002,15,10|2003,15,11|2003,15,12;2006,1,12</v>
      </c>
    </row>
    <row r="82" spans="1:3">
      <c r="A82" s="4">
        <v>81</v>
      </c>
      <c r="B82" t="str">
        <f t="shared" si="5"/>
        <v>101,10,1|101,10,2|101,10,3|101,10,4;105,5,4|0,10,5|0,10,6|0,10,7|0,10,8;105,5,8|0,15,9|0,15,10|0,15,11|0,15,12;106,1,12</v>
      </c>
      <c r="C82" t="str">
        <f t="shared" si="6"/>
        <v>101,10,1|101,10,2|101,10,3|101,10,4;105,5,4|0,10,5|0,10,6|0,10,7|0,10,8;105,5,8|0,15,9|0,15,10|0,15,11|0,15,12;106,1,12</v>
      </c>
    </row>
    <row r="83" spans="1:3">
      <c r="A83" s="4">
        <v>82</v>
      </c>
      <c r="B83" t="str">
        <f t="shared" si="5"/>
        <v>201,10,1|201,10,2|201,10,3|201,10,4;205,5,4|202,10,5|202,10,6|202,10,7|202,10,8;205,5,8|202,15,9|202,15,10|203,15,11|203,15,12;206,1,12</v>
      </c>
      <c r="C83" t="str">
        <f t="shared" si="6"/>
        <v>201,10,1|201,10,2|201,10,3|201,10,4;205,5,4|202,10,5|202,10,6|202,10,7|202,10,8;205,5,8|202,15,9|202,15,10|203,15,11|203,15,12;206,1,12</v>
      </c>
    </row>
    <row r="84" spans="1:3">
      <c r="A84" s="4">
        <v>83</v>
      </c>
      <c r="B84" t="str">
        <f t="shared" si="5"/>
        <v>301,10,1|301,10,2|301,10,3|301,10,4;305,5,4|302,5,5|302,10,6|302,10,7|302,10,8;305,5,8|302,15,9|302,15,10|303,15,11|303,15,12;306,1,12</v>
      </c>
      <c r="C84" t="str">
        <f t="shared" si="6"/>
        <v>301,10,1|301,10,2|301,10,3|301,10,4;305,5,4|302,5,5|302,10,6|302,10,7|302,10,8;305,5,8|302,15,9|302,15,10|303,15,11|303,15,12;306,1,12</v>
      </c>
    </row>
    <row r="85" spans="1:3">
      <c r="A85" s="4">
        <v>84</v>
      </c>
      <c r="B85" t="str">
        <f t="shared" si="5"/>
        <v>401,10,1|401,10,2|401,10,3|401,10,4;405,5,4|402,10,5|402,10,6|402,10,7|402,10,8;405,5,8|402,15,9|402,15,10|403,15,11|403,15,12;406,1,12</v>
      </c>
      <c r="C85" t="str">
        <f t="shared" si="6"/>
        <v>401,10,1|401,10,2|401,10,3|401,10,4;405,5,4|402,10,5|402,10,6|402,10,7|402,10,8;405,5,8|402,15,9|402,15,10|403,15,11|403,15,12;406,1,12</v>
      </c>
    </row>
    <row r="86" spans="1:3">
      <c r="A86" s="4">
        <v>85</v>
      </c>
      <c r="B86" t="str">
        <f t="shared" si="5"/>
        <v>501,10,1|501,10,2|501,10,3|501,10,4;505,5,4|502,10,5|502,10,6|502,10,7|502,10,8;505,5,8|502,15,9|502,15,10|503,15,11|503,15,12;506,1,12</v>
      </c>
      <c r="C86" t="str">
        <f t="shared" si="6"/>
        <v>501,10,1|501,10,2|501,10,3|501,10,4;505,5,4|502,10,5|502,10,6|502,10,7|502,10,8;505,5,8|502,15,9|502,15,10|503,15,11|503,15,12;506,1,12</v>
      </c>
    </row>
    <row r="87" spans="1:3">
      <c r="A87" s="4">
        <v>86</v>
      </c>
      <c r="B87" t="str">
        <f t="shared" si="5"/>
        <v>601,10,1|601,10,2|601,10,3|601,10,4;605,5,4|602,10,5|602,10,6|602,10,7|602,10,8;605,5,8|602,15,9|602,15,10|603,15,11|603,15,12;606,1,12</v>
      </c>
      <c r="C87" t="str">
        <f t="shared" si="6"/>
        <v>601,10,1|601,10,2|601,10,3|601,10,4;605,5,4|602,10,5|602,10,6|602,10,7|602,10,8;605,5,8|602,15,9|602,15,10|603,15,11|603,15,12;606,1,12</v>
      </c>
    </row>
    <row r="88" spans="1:3">
      <c r="A88" s="4">
        <v>87</v>
      </c>
      <c r="B88" t="str">
        <f t="shared" si="5"/>
        <v>701,10,1|701,10,2|701,10,3|701,10,4;705,5,4|702,10,5|702,10,6|702,10,7|702,10,8;705,5,8|702,15,9|702,15,10|703,15,11|703,15,12;706,1,12</v>
      </c>
      <c r="C88" t="str">
        <f t="shared" si="6"/>
        <v>701,10,1|701,10,2|701,10,3|701,10,4;705,5,4|702,10,5|702,10,6|702,10,7|702,10,8;705,5,8|702,15,9|702,15,10|703,15,11|703,15,12;706,1,12</v>
      </c>
    </row>
    <row r="89" spans="1:3">
      <c r="A89" s="4">
        <v>88</v>
      </c>
      <c r="B89" t="str">
        <f t="shared" si="5"/>
        <v>801,10,1|801,10,2|801,10,3|801,10,4;805,5,4|802,10,5|802,10,6|802,10,7|802,10,8;805,5,8|802,15,9|802,15,10|803,15,11|803,15,12;806,1,12</v>
      </c>
      <c r="C89" t="str">
        <f t="shared" si="6"/>
        <v>801,10,1|801,10,2|801,10,3|801,10,4;805,5,4|802,10,5|802,10,6|802,10,7|802,10,8;805,5,8|802,15,9|802,15,10|803,15,11|803,15,12;806,1,12</v>
      </c>
    </row>
    <row r="90" spans="1:3">
      <c r="A90" s="4">
        <v>89</v>
      </c>
      <c r="B90" t="str">
        <f t="shared" si="5"/>
        <v>901,10,1|901,10,2|901,10,3|901,10,4;905,5,4|902,10,5|902,10,6|902,10,7|902,10,8;905,5,8|902,15,9|902,15,10|903,15,11|903,15,12;906,1,12</v>
      </c>
      <c r="C90" t="str">
        <f t="shared" si="6"/>
        <v>901,10,1|901,10,2|901,10,3|901,10,4;905,5,4|902,10,5|902,10,6|902,10,7|902,10,8;905,5,8|902,15,9|902,15,10|903,15,11|903,15,12;906,1,12</v>
      </c>
    </row>
    <row r="91" spans="1:3">
      <c r="A91" s="4">
        <v>90</v>
      </c>
      <c r="B91" t="str">
        <f t="shared" si="5"/>
        <v>1001,10,1|1001,10,2|1001,10,3|1001,10,4;1005,5,4|1002,10,5|1002,10,6|1002,10,7|1002,10,8;1005,5,8|1002,15,9|1002,15,10|1003,15,11|1003,15,12;1006,1,12</v>
      </c>
      <c r="C91" t="str">
        <f t="shared" si="6"/>
        <v>1001,10,1|1001,10,2|1001,10,3|1001,10,4;1005,5,4|1002,10,5|1002,10,6|1002,10,7|1002,10,8;1005,5,8|1002,15,9|1002,15,10|1003,15,11|1003,15,12;1006,1,12</v>
      </c>
    </row>
    <row r="92" spans="1:3">
      <c r="A92" s="4">
        <v>91</v>
      </c>
      <c r="B92" t="str">
        <f>B62</f>
        <v>101,10,1|101,10,2|101,10,3|101,10,4;105,5,4|0,10,5|0,10,6|0,10,7|0,10,8;105,5,8|0,15,9|0,15,10|0,15,11|0,15,12;106,1,12</v>
      </c>
      <c r="C92" t="str">
        <f>C62</f>
        <v>101,10,1|101,10,2|101,10,3|101,10,4;105,5,4|0,10,5|0,10,6|0,10,7|0,10,8;105,5,8|0,15,9|0,15,10|0,15,11|0,15,12;106,1,12</v>
      </c>
    </row>
    <row r="93" spans="1:3">
      <c r="A93" s="4">
        <v>92</v>
      </c>
      <c r="B93" t="str">
        <f t="shared" ref="B93:B124" si="7">B63</f>
        <v>201,10,1|201,10,2|201,10,3|201,10,4;205,5,4|202,10,5|202,10,6|202,10,7|202,10,8;205,5,8|202,15,9|202,15,10|203,15,11|203,15,12;206,1,12</v>
      </c>
      <c r="C93" t="str">
        <f t="shared" ref="C93:C124" si="8">C63</f>
        <v>201,10,1|201,10,2|201,10,3|201,10,4;205,5,4|202,10,5|202,10,6|202,10,7|202,10,8;205,5,8|202,15,9|202,15,10|203,15,11|203,15,12;206,1,12</v>
      </c>
    </row>
    <row r="94" spans="1:3">
      <c r="A94" s="4">
        <v>93</v>
      </c>
      <c r="B94" t="str">
        <f t="shared" si="7"/>
        <v>301,10,1|301,10,2|301,10,3|301,10,4;305,5,4|302,5,5|302,10,6|302,10,7|302,10,8;305,5,8|302,15,9|302,15,10|303,15,11|303,15,12;306,1,12</v>
      </c>
      <c r="C94" t="str">
        <f t="shared" si="8"/>
        <v>301,10,1|301,10,2|301,10,3|301,10,4;305,5,4|302,5,5|302,10,6|302,10,7|302,10,8;305,5,8|302,15,9|302,15,10|303,15,11|303,15,12;306,1,12</v>
      </c>
    </row>
    <row r="95" spans="1:3">
      <c r="A95" s="4">
        <v>94</v>
      </c>
      <c r="B95" t="str">
        <f t="shared" si="7"/>
        <v>401,10,1|401,10,2|401,10,3|401,10,4;405,5,4|402,10,5|402,10,6|402,10,7|402,10,8;405,5,8|402,15,9|402,15,10|403,15,11|403,15,12;406,1,12</v>
      </c>
      <c r="C95" t="str">
        <f t="shared" si="8"/>
        <v>401,10,1|401,10,2|401,10,3|401,10,4;405,5,4|402,10,5|402,10,6|402,10,7|402,10,8;405,5,8|402,15,9|402,15,10|403,15,11|403,15,12;406,1,12</v>
      </c>
    </row>
    <row r="96" spans="1:3">
      <c r="A96" s="4">
        <v>95</v>
      </c>
      <c r="B96" t="str">
        <f t="shared" si="7"/>
        <v>501,10,1|501,10,2|501,10,3|501,10,4;505,5,4|502,10,5|502,10,6|502,10,7|502,10,8;505,5,8|502,15,9|502,15,10|503,15,11|503,15,12;506,1,12</v>
      </c>
      <c r="C96" t="str">
        <f t="shared" si="8"/>
        <v>501,10,1|501,10,2|501,10,3|501,10,4;505,5,4|502,10,5|502,10,6|502,10,7|502,10,8;505,5,8|502,15,9|502,15,10|503,15,11|503,15,12;506,1,12</v>
      </c>
    </row>
    <row r="97" spans="1:3">
      <c r="A97" s="4">
        <v>96</v>
      </c>
      <c r="B97" t="str">
        <f t="shared" si="7"/>
        <v>601,10,1|601,10,2|601,10,3|601,10,4;605,5,4|602,10,5|602,10,6|602,10,7|602,10,8;605,5,8|602,15,9|602,15,10|603,15,11|603,15,12;606,1,12</v>
      </c>
      <c r="C97" t="str">
        <f t="shared" si="8"/>
        <v>601,10,1|601,10,2|601,10,3|601,10,4;605,5,4|602,10,5|602,10,6|602,10,7|602,10,8;605,5,8|602,15,9|602,15,10|603,15,11|603,15,12;606,1,12</v>
      </c>
    </row>
    <row r="98" spans="1:3">
      <c r="A98" s="4">
        <v>97</v>
      </c>
      <c r="B98" t="str">
        <f t="shared" si="7"/>
        <v>701,10,1|701,10,2|701,10,3|701,10,4;705,5,4|702,10,5|702,10,6|702,10,7|702,10,8;705,5,8|702,15,9|702,15,10|703,15,11|703,15,12;706,1,12</v>
      </c>
      <c r="C98" t="str">
        <f t="shared" si="8"/>
        <v>701,10,1|701,10,2|701,10,3|701,10,4;705,5,4|702,10,5|702,10,6|702,10,7|702,10,8;705,5,8|702,15,9|702,15,10|703,15,11|703,15,12;706,1,12</v>
      </c>
    </row>
    <row r="99" spans="1:3">
      <c r="A99" s="4">
        <v>98</v>
      </c>
      <c r="B99" t="str">
        <f t="shared" si="7"/>
        <v>801,10,1|801,10,2|801,10,3|801,10,4;805,5,4|802,10,5|802,10,6|802,10,7|802,10,8;805,5,8|802,15,9|802,15,10|803,15,11|803,15,12;806,1,12</v>
      </c>
      <c r="C99" t="str">
        <f t="shared" si="8"/>
        <v>801,10,1|801,10,2|801,10,3|801,10,4;805,5,4|802,10,5|802,10,6|802,10,7|802,10,8;805,5,8|802,15,9|802,15,10|803,15,11|803,15,12;806,1,12</v>
      </c>
    </row>
    <row r="100" spans="1:3">
      <c r="A100" s="4">
        <v>99</v>
      </c>
      <c r="B100" t="str">
        <f t="shared" si="7"/>
        <v>901,10,1|901,10,2|901,10,3|901,10,4;905,5,4|902,10,5|902,10,6|902,10,7|902,10,8;905,5,8|902,15,9|902,15,10|903,15,11|903,15,12;906,1,12</v>
      </c>
      <c r="C100" t="str">
        <f t="shared" si="8"/>
        <v>901,10,1|901,10,2|901,10,3|901,10,4;905,5,4|902,10,5|902,10,6|902,10,7|902,10,8;905,5,8|902,15,9|902,15,10|903,15,11|903,15,12;906,1,12</v>
      </c>
    </row>
    <row r="101" spans="1:3">
      <c r="A101" s="4">
        <v>100</v>
      </c>
      <c r="B101" t="str">
        <f t="shared" si="7"/>
        <v>1001,10,1|1001,10,2|1001,10,3|1001,10,4;1005,5,4|1002,10,5|1002,10,6|1002,10,7|1002,10,8;1005,5,8|1002,15,9|1002,15,10|1003,15,11|1003,15,12;1006,1,12</v>
      </c>
      <c r="C101" t="str">
        <f t="shared" si="8"/>
        <v>1001,10,1|1001,10,2|1001,10,3|1001,10,4;1005,5,4|1002,10,5|1002,10,6|1002,10,7|1002,10,8;1005,5,8|1002,15,9|1002,15,10|1003,15,11|1003,15,12;1006,1,12</v>
      </c>
    </row>
    <row r="102" spans="1:3">
      <c r="A102" s="4">
        <v>101</v>
      </c>
      <c r="B102" t="str">
        <f t="shared" si="7"/>
        <v>1101,10,1|1101,10,2|1101,10,3|1101,10,4;1105,5,4|1102,10,5|1102,10,6|1102,10,7|1102,10,8;1105,5,8|1102,15,9|1102,15,10|1103,15,11|1103,15,12;1106,1,12</v>
      </c>
      <c r="C102" t="str">
        <f t="shared" si="8"/>
        <v>1101,10,1|1101,10,2|1101,10,3|1101,10,4;1105,5,4|1102,10,5|1102,10,6|1102,10,7|1102,10,8;1105,5,8|1102,15,9|1102,15,10|1103,15,11|1103,15,12;1106,1,12</v>
      </c>
    </row>
    <row r="103" spans="1:3">
      <c r="A103" s="4">
        <v>102</v>
      </c>
      <c r="B103" t="str">
        <f t="shared" si="7"/>
        <v>1201,10,1|1201,10,2|1201,10,3|1201,10,4;1205,5,4|1202,10,5|1202,10,6|1202,10,7|1202,10,8;1205,5,8|1202,15,9|1202,15,10|1203,15,11|1203,15,12;1206,1,12</v>
      </c>
      <c r="C103" t="str">
        <f t="shared" si="8"/>
        <v>1201,10,1|1201,10,2|1201,10,3|1201,10,4;1205,5,4|1202,10,5|1202,10,6|1202,10,7|1202,10,8;1205,5,8|1202,15,9|1202,15,10|1203,15,11|1203,15,12;1206,1,12</v>
      </c>
    </row>
    <row r="104" spans="1:3">
      <c r="A104" s="4">
        <v>103</v>
      </c>
      <c r="B104" t="str">
        <f t="shared" si="7"/>
        <v>1301,10,1|1301,10,2|1301,10,3|1301,10,4;1305,5,4|1302,10,5|1302,10,6|1302,10,7|1302,10,8;1305,5,8|1302,15,9|1302,15,10|1303,15,11|1303,15,12;1306,1,12</v>
      </c>
      <c r="C104" t="str">
        <f t="shared" si="8"/>
        <v>1301,10,1|1301,10,2|1301,10,3|1301,10,4;1305,5,4|1302,10,5|1302,10,6|1302,10,7|1302,10,8;1305,5,8|1302,15,9|1302,15,10|1303,15,11|1303,15,12;1306,1,12</v>
      </c>
    </row>
    <row r="105" spans="1:3">
      <c r="A105" s="4">
        <v>104</v>
      </c>
      <c r="B105" t="str">
        <f t="shared" si="7"/>
        <v>1401,10,1|1401,10,2|1401,10,3|1401,10,4;1405,5,4|1402,10,5|1402,10,6|1402,10,7|1402,10,8;1405,5,8|1402,15,9|1402,15,10|1403,15,11|1403,15,12;1406,1,12</v>
      </c>
      <c r="C105" t="str">
        <f t="shared" si="8"/>
        <v>1401,10,1|1401,10,2|1401,10,3|1401,10,4;1405,5,4|1402,10,5|1402,10,6|1402,10,7|1402,10,8;1405,5,8|1402,15,9|1402,15,10|1403,15,11|1403,15,12;1406,1,12</v>
      </c>
    </row>
    <row r="106" spans="1:3">
      <c r="A106" s="4">
        <v>105</v>
      </c>
      <c r="B106" t="str">
        <f t="shared" si="7"/>
        <v>1501,10,1|1501,10,2|1501,10,3|1501,10,4;1505,5,4|1502,10,5|1502,10,6|1502,10,7|1502,10,8;1505,5,8|1502,15,9|1502,15,10|1503,15,11|1503,15,12;1506,1,12</v>
      </c>
      <c r="C106" t="str">
        <f t="shared" si="8"/>
        <v>1501,10,1|1501,10,2|1501,10,3|1501,10,4;1505,5,4|1502,10,5|1502,10,6|1502,10,7|1502,10,8;1505,5,8|1502,15,9|1502,15,10|1503,15,11|1503,15,12;1506,1,12</v>
      </c>
    </row>
    <row r="107" spans="1:3">
      <c r="A107" s="4">
        <v>106</v>
      </c>
      <c r="B107" t="str">
        <f t="shared" si="7"/>
        <v>1601,10,1|1601,10,2|1601,10,3|1601,10,4;1605,5,4|1602,10,5|1602,10,6|1602,10,7|1602,10,8;1605,5,8|1602,15,9|1602,15,10|1603,15,11|1603,15,12;1606,1,12</v>
      </c>
      <c r="C107" t="str">
        <f t="shared" si="8"/>
        <v>1601,10,1|1601,10,2|1601,10,3|1601,10,4;1605,5,4|1602,10,5|1602,10,6|1602,10,7|1602,10,8;1605,5,8|1602,15,9|1602,15,10|1603,15,11|1603,15,12;1606,1,12</v>
      </c>
    </row>
    <row r="108" spans="1:3">
      <c r="A108" s="4">
        <v>107</v>
      </c>
      <c r="B108" t="str">
        <f t="shared" si="7"/>
        <v>1701,10,1|1701,10,2|1701,10,3|1701,10,4;1705,5,4|1702,10,5|1702,10,6|1702,10,7|1702,10,8;1705,5,8|1702,15,9|1702,15,10|1703,15,11|1703,15,12;1706,1,12</v>
      </c>
      <c r="C108" t="str">
        <f t="shared" si="8"/>
        <v>1701,10,1|1701,10,2|1701,10,3|1701,10,4;1705,5,4|1702,10,5|1702,10,6|1702,10,7|1702,10,8;1705,5,8|1702,15,9|1702,15,10|1703,15,11|1703,15,12;1706,1,12</v>
      </c>
    </row>
    <row r="109" spans="1:3">
      <c r="A109" s="4">
        <v>108</v>
      </c>
      <c r="B109" t="str">
        <f t="shared" si="7"/>
        <v>1801,10,1|1801,10,2|1801,10,3|1801,10,4;1805,5,4|1802,10,5|1802,10,6|1802,10,7|1802,10,8;1805,5,8|1802,15,9|1802,15,10|1803,15,11|1803,15,12;1806,1,12</v>
      </c>
      <c r="C109" t="str">
        <f t="shared" si="8"/>
        <v>1801,10,1|1801,10,2|1801,10,3|1801,10,4;1805,5,4|1802,10,5|1802,10,6|1802,10,7|1802,10,8;1805,5,8|1802,15,9|1802,15,10|1803,15,11|1803,15,12;1806,1,12</v>
      </c>
    </row>
    <row r="110" spans="1:3">
      <c r="A110" s="4">
        <v>109</v>
      </c>
      <c r="B110" t="str">
        <f t="shared" si="7"/>
        <v>1901,10,1|1901,10,2|1901,10,3|1901,10,4;1905,5,4|1902,10,5|1902,10,6|1902,10,7|1902,10,8;1905,5,8|1902,15,9|1902,15,10|1903,15,11|1903,15,12;1906,1,12</v>
      </c>
      <c r="C110" t="str">
        <f t="shared" si="8"/>
        <v>1901,10,1|1901,10,2|1901,10,3|1901,10,4;1905,5,4|1902,10,5|1902,10,6|1902,10,7|1902,10,8;1905,5,8|1902,15,9|1902,15,10|1903,15,11|1903,15,12;1906,1,12</v>
      </c>
    </row>
    <row r="111" spans="1:3">
      <c r="A111" s="4">
        <v>110</v>
      </c>
      <c r="B111" t="str">
        <f t="shared" si="7"/>
        <v>2001,10,1|2001,10,2|2001,10,3|2001,10,4;2005,5,4|2002,10,5|2002,10,6|2002,10,7|2002,10,8;2005,5,8|2002,15,9|2002,15,10|2003,15,11|2003,15,12;2006,1,12</v>
      </c>
      <c r="C111" t="str">
        <f t="shared" si="8"/>
        <v>2001,10,1|2001,10,2|2001,10,3|2001,10,4;2005,5,4|2002,10,5|2002,10,6|2002,10,7|2002,10,8;2005,5,8|2002,15,9|2002,15,10|2003,15,11|2003,15,12;2006,1,12</v>
      </c>
    </row>
    <row r="112" spans="1:3">
      <c r="A112" s="4">
        <v>111</v>
      </c>
      <c r="B112" t="str">
        <f>B92</f>
        <v>101,10,1|101,10,2|101,10,3|101,10,4;105,5,4|0,10,5|0,10,6|0,10,7|0,10,8;105,5,8|0,15,9|0,15,10|0,15,11|0,15,12;106,1,12</v>
      </c>
      <c r="C112" t="str">
        <f>C92</f>
        <v>101,10,1|101,10,2|101,10,3|101,10,4;105,5,4|0,10,5|0,10,6|0,10,7|0,10,8;105,5,8|0,15,9|0,15,10|0,15,11|0,15,12;106,1,12</v>
      </c>
    </row>
    <row r="113" spans="1:3">
      <c r="A113" s="4">
        <v>112</v>
      </c>
      <c r="B113" t="str">
        <f t="shared" ref="B113:B141" si="9">B93</f>
        <v>201,10,1|201,10,2|201,10,3|201,10,4;205,5,4|202,10,5|202,10,6|202,10,7|202,10,8;205,5,8|202,15,9|202,15,10|203,15,11|203,15,12;206,1,12</v>
      </c>
      <c r="C113" t="str">
        <f t="shared" ref="C113:C141" si="10">C93</f>
        <v>201,10,1|201,10,2|201,10,3|201,10,4;205,5,4|202,10,5|202,10,6|202,10,7|202,10,8;205,5,8|202,15,9|202,15,10|203,15,11|203,15,12;206,1,12</v>
      </c>
    </row>
    <row r="114" spans="1:3">
      <c r="A114" s="4">
        <v>113</v>
      </c>
      <c r="B114" t="str">
        <f t="shared" si="9"/>
        <v>301,10,1|301,10,2|301,10,3|301,10,4;305,5,4|302,5,5|302,10,6|302,10,7|302,10,8;305,5,8|302,15,9|302,15,10|303,15,11|303,15,12;306,1,12</v>
      </c>
      <c r="C114" t="str">
        <f t="shared" si="10"/>
        <v>301,10,1|301,10,2|301,10,3|301,10,4;305,5,4|302,5,5|302,10,6|302,10,7|302,10,8;305,5,8|302,15,9|302,15,10|303,15,11|303,15,12;306,1,12</v>
      </c>
    </row>
    <row r="115" spans="1:3">
      <c r="A115" s="4">
        <v>114</v>
      </c>
      <c r="B115" t="str">
        <f t="shared" si="9"/>
        <v>401,10,1|401,10,2|401,10,3|401,10,4;405,5,4|402,10,5|402,10,6|402,10,7|402,10,8;405,5,8|402,15,9|402,15,10|403,15,11|403,15,12;406,1,12</v>
      </c>
      <c r="C115" t="str">
        <f t="shared" si="10"/>
        <v>401,10,1|401,10,2|401,10,3|401,10,4;405,5,4|402,10,5|402,10,6|402,10,7|402,10,8;405,5,8|402,15,9|402,15,10|403,15,11|403,15,12;406,1,12</v>
      </c>
    </row>
    <row r="116" spans="1:3">
      <c r="A116" s="4">
        <v>115</v>
      </c>
      <c r="B116" t="str">
        <f t="shared" si="9"/>
        <v>501,10,1|501,10,2|501,10,3|501,10,4;505,5,4|502,10,5|502,10,6|502,10,7|502,10,8;505,5,8|502,15,9|502,15,10|503,15,11|503,15,12;506,1,12</v>
      </c>
      <c r="C116" t="str">
        <f t="shared" si="10"/>
        <v>501,10,1|501,10,2|501,10,3|501,10,4;505,5,4|502,10,5|502,10,6|502,10,7|502,10,8;505,5,8|502,15,9|502,15,10|503,15,11|503,15,12;506,1,12</v>
      </c>
    </row>
    <row r="117" spans="1:3">
      <c r="A117" s="4">
        <v>116</v>
      </c>
      <c r="B117" t="str">
        <f t="shared" si="9"/>
        <v>601,10,1|601,10,2|601,10,3|601,10,4;605,5,4|602,10,5|602,10,6|602,10,7|602,10,8;605,5,8|602,15,9|602,15,10|603,15,11|603,15,12;606,1,12</v>
      </c>
      <c r="C117" t="str">
        <f t="shared" si="10"/>
        <v>601,10,1|601,10,2|601,10,3|601,10,4;605,5,4|602,10,5|602,10,6|602,10,7|602,10,8;605,5,8|602,15,9|602,15,10|603,15,11|603,15,12;606,1,12</v>
      </c>
    </row>
    <row r="118" spans="1:3">
      <c r="A118" s="4">
        <v>117</v>
      </c>
      <c r="B118" t="str">
        <f t="shared" si="9"/>
        <v>701,10,1|701,10,2|701,10,3|701,10,4;705,5,4|702,10,5|702,10,6|702,10,7|702,10,8;705,5,8|702,15,9|702,15,10|703,15,11|703,15,12;706,1,12</v>
      </c>
      <c r="C118" t="str">
        <f t="shared" si="10"/>
        <v>701,10,1|701,10,2|701,10,3|701,10,4;705,5,4|702,10,5|702,10,6|702,10,7|702,10,8;705,5,8|702,15,9|702,15,10|703,15,11|703,15,12;706,1,12</v>
      </c>
    </row>
    <row r="119" spans="1:3">
      <c r="A119" s="4">
        <v>118</v>
      </c>
      <c r="B119" t="str">
        <f t="shared" si="9"/>
        <v>801,10,1|801,10,2|801,10,3|801,10,4;805,5,4|802,10,5|802,10,6|802,10,7|802,10,8;805,5,8|802,15,9|802,15,10|803,15,11|803,15,12;806,1,12</v>
      </c>
      <c r="C119" t="str">
        <f t="shared" si="10"/>
        <v>801,10,1|801,10,2|801,10,3|801,10,4;805,5,4|802,10,5|802,10,6|802,10,7|802,10,8;805,5,8|802,15,9|802,15,10|803,15,11|803,15,12;806,1,12</v>
      </c>
    </row>
    <row r="120" spans="1:3">
      <c r="A120" s="4">
        <v>119</v>
      </c>
      <c r="B120" t="str">
        <f t="shared" si="9"/>
        <v>901,10,1|901,10,2|901,10,3|901,10,4;905,5,4|902,10,5|902,10,6|902,10,7|902,10,8;905,5,8|902,15,9|902,15,10|903,15,11|903,15,12;906,1,12</v>
      </c>
      <c r="C120" t="str">
        <f t="shared" si="10"/>
        <v>901,10,1|901,10,2|901,10,3|901,10,4;905,5,4|902,10,5|902,10,6|902,10,7|902,10,8;905,5,8|902,15,9|902,15,10|903,15,11|903,15,12;906,1,12</v>
      </c>
    </row>
    <row r="121" spans="1:3">
      <c r="A121" s="4">
        <v>120</v>
      </c>
      <c r="B121" t="str">
        <f t="shared" si="9"/>
        <v>1001,10,1|1001,10,2|1001,10,3|1001,10,4;1005,5,4|1002,10,5|1002,10,6|1002,10,7|1002,10,8;1005,5,8|1002,15,9|1002,15,10|1003,15,11|1003,15,12;1006,1,12</v>
      </c>
      <c r="C121" t="str">
        <f t="shared" si="10"/>
        <v>1001,10,1|1001,10,2|1001,10,3|1001,10,4;1005,5,4|1002,10,5|1002,10,6|1002,10,7|1002,10,8;1005,5,8|1002,15,9|1002,15,10|1003,15,11|1003,15,12;1006,1,12</v>
      </c>
    </row>
    <row r="122" spans="1:3">
      <c r="A122" s="4">
        <v>121</v>
      </c>
      <c r="B122" t="str">
        <f t="shared" si="9"/>
        <v>1101,10,1|1101,10,2|1101,10,3|1101,10,4;1105,5,4|1102,10,5|1102,10,6|1102,10,7|1102,10,8;1105,5,8|1102,15,9|1102,15,10|1103,15,11|1103,15,12;1106,1,12</v>
      </c>
      <c r="C122" t="str">
        <f t="shared" si="10"/>
        <v>1101,10,1|1101,10,2|1101,10,3|1101,10,4;1105,5,4|1102,10,5|1102,10,6|1102,10,7|1102,10,8;1105,5,8|1102,15,9|1102,15,10|1103,15,11|1103,15,12;1106,1,12</v>
      </c>
    </row>
    <row r="123" spans="1:3">
      <c r="A123" s="4">
        <v>122</v>
      </c>
      <c r="B123" t="str">
        <f t="shared" si="9"/>
        <v>1201,10,1|1201,10,2|1201,10,3|1201,10,4;1205,5,4|1202,10,5|1202,10,6|1202,10,7|1202,10,8;1205,5,8|1202,15,9|1202,15,10|1203,15,11|1203,15,12;1206,1,12</v>
      </c>
      <c r="C123" t="str">
        <f t="shared" si="10"/>
        <v>1201,10,1|1201,10,2|1201,10,3|1201,10,4;1205,5,4|1202,10,5|1202,10,6|1202,10,7|1202,10,8;1205,5,8|1202,15,9|1202,15,10|1203,15,11|1203,15,12;1206,1,12</v>
      </c>
    </row>
    <row r="124" spans="1:3">
      <c r="A124" s="4">
        <v>123</v>
      </c>
      <c r="B124" t="str">
        <f t="shared" si="9"/>
        <v>1301,10,1|1301,10,2|1301,10,3|1301,10,4;1305,5,4|1302,10,5|1302,10,6|1302,10,7|1302,10,8;1305,5,8|1302,15,9|1302,15,10|1303,15,11|1303,15,12;1306,1,12</v>
      </c>
      <c r="C124" t="str">
        <f t="shared" si="10"/>
        <v>1301,10,1|1301,10,2|1301,10,3|1301,10,4;1305,5,4|1302,10,5|1302,10,6|1302,10,7|1302,10,8;1305,5,8|1302,15,9|1302,15,10|1303,15,11|1303,15,12;1306,1,12</v>
      </c>
    </row>
    <row r="125" spans="1:3">
      <c r="A125" s="4">
        <v>124</v>
      </c>
      <c r="B125" t="str">
        <f t="shared" si="9"/>
        <v>1401,10,1|1401,10,2|1401,10,3|1401,10,4;1405,5,4|1402,10,5|1402,10,6|1402,10,7|1402,10,8;1405,5,8|1402,15,9|1402,15,10|1403,15,11|1403,15,12;1406,1,12</v>
      </c>
      <c r="C125" t="str">
        <f t="shared" si="10"/>
        <v>1401,10,1|1401,10,2|1401,10,3|1401,10,4;1405,5,4|1402,10,5|1402,10,6|1402,10,7|1402,10,8;1405,5,8|1402,15,9|1402,15,10|1403,15,11|1403,15,12;1406,1,12</v>
      </c>
    </row>
    <row r="126" spans="1:3">
      <c r="A126" s="4">
        <v>125</v>
      </c>
      <c r="B126" t="str">
        <f t="shared" si="9"/>
        <v>1501,10,1|1501,10,2|1501,10,3|1501,10,4;1505,5,4|1502,10,5|1502,10,6|1502,10,7|1502,10,8;1505,5,8|1502,15,9|1502,15,10|1503,15,11|1503,15,12;1506,1,12</v>
      </c>
      <c r="C126" t="str">
        <f t="shared" si="10"/>
        <v>1501,10,1|1501,10,2|1501,10,3|1501,10,4;1505,5,4|1502,10,5|1502,10,6|1502,10,7|1502,10,8;1505,5,8|1502,15,9|1502,15,10|1503,15,11|1503,15,12;1506,1,12</v>
      </c>
    </row>
    <row r="127" spans="1:3">
      <c r="A127" s="4">
        <v>126</v>
      </c>
      <c r="B127" t="str">
        <f t="shared" si="9"/>
        <v>1601,10,1|1601,10,2|1601,10,3|1601,10,4;1605,5,4|1602,10,5|1602,10,6|1602,10,7|1602,10,8;1605,5,8|1602,15,9|1602,15,10|1603,15,11|1603,15,12;1606,1,12</v>
      </c>
      <c r="C127" t="str">
        <f t="shared" si="10"/>
        <v>1601,10,1|1601,10,2|1601,10,3|1601,10,4;1605,5,4|1602,10,5|1602,10,6|1602,10,7|1602,10,8;1605,5,8|1602,15,9|1602,15,10|1603,15,11|1603,15,12;1606,1,12</v>
      </c>
    </row>
    <row r="128" spans="1:3">
      <c r="A128" s="4">
        <v>127</v>
      </c>
      <c r="B128" t="str">
        <f t="shared" si="9"/>
        <v>1701,10,1|1701,10,2|1701,10,3|1701,10,4;1705,5,4|1702,10,5|1702,10,6|1702,10,7|1702,10,8;1705,5,8|1702,15,9|1702,15,10|1703,15,11|1703,15,12;1706,1,12</v>
      </c>
      <c r="C128" t="str">
        <f t="shared" si="10"/>
        <v>1701,10,1|1701,10,2|1701,10,3|1701,10,4;1705,5,4|1702,10,5|1702,10,6|1702,10,7|1702,10,8;1705,5,8|1702,15,9|1702,15,10|1703,15,11|1703,15,12;1706,1,12</v>
      </c>
    </row>
    <row r="129" spans="1:3">
      <c r="A129" s="4">
        <v>128</v>
      </c>
      <c r="B129" t="str">
        <f t="shared" si="9"/>
        <v>1801,10,1|1801,10,2|1801,10,3|1801,10,4;1805,5,4|1802,10,5|1802,10,6|1802,10,7|1802,10,8;1805,5,8|1802,15,9|1802,15,10|1803,15,11|1803,15,12;1806,1,12</v>
      </c>
      <c r="C129" t="str">
        <f t="shared" si="10"/>
        <v>1801,10,1|1801,10,2|1801,10,3|1801,10,4;1805,5,4|1802,10,5|1802,10,6|1802,10,7|1802,10,8;1805,5,8|1802,15,9|1802,15,10|1803,15,11|1803,15,12;1806,1,12</v>
      </c>
    </row>
    <row r="130" spans="1:3">
      <c r="A130" s="4">
        <v>129</v>
      </c>
      <c r="B130" t="str">
        <f t="shared" si="9"/>
        <v>1901,10,1|1901,10,2|1901,10,3|1901,10,4;1905,5,4|1902,10,5|1902,10,6|1902,10,7|1902,10,8;1905,5,8|1902,15,9|1902,15,10|1903,15,11|1903,15,12;1906,1,12</v>
      </c>
      <c r="C130" t="str">
        <f t="shared" si="10"/>
        <v>1901,10,1|1901,10,2|1901,10,3|1901,10,4;1905,5,4|1902,10,5|1902,10,6|1902,10,7|1902,10,8;1905,5,8|1902,15,9|1902,15,10|1903,15,11|1903,15,12;1906,1,12</v>
      </c>
    </row>
    <row r="131" spans="1:3">
      <c r="A131" s="4">
        <v>130</v>
      </c>
      <c r="B131" t="str">
        <f t="shared" si="9"/>
        <v>2001,10,1|2001,10,2|2001,10,3|2001,10,4;2005,5,4|2002,10,5|2002,10,6|2002,10,7|2002,10,8;2005,5,8|2002,15,9|2002,15,10|2003,15,11|2003,15,12;2006,1,12</v>
      </c>
      <c r="C131" t="str">
        <f t="shared" si="10"/>
        <v>2001,10,1|2001,10,2|2001,10,3|2001,10,4;2005,5,4|2002,10,5|2002,10,6|2002,10,7|2002,10,8;2005,5,8|2002,15,9|2002,15,10|2003,15,11|2003,15,12;2006,1,12</v>
      </c>
    </row>
    <row r="132" spans="1:3">
      <c r="A132" s="4">
        <v>131</v>
      </c>
      <c r="B132" t="str">
        <f t="shared" si="9"/>
        <v>101,10,1|101,10,2|101,10,3|101,10,4;105,5,4|0,10,5|0,10,6|0,10,7|0,10,8;105,5,8|0,15,9|0,15,10|0,15,11|0,15,12;106,1,12</v>
      </c>
      <c r="C132" t="str">
        <f t="shared" si="10"/>
        <v>101,10,1|101,10,2|101,10,3|101,10,4;105,5,4|0,10,5|0,10,6|0,10,7|0,10,8;105,5,8|0,15,9|0,15,10|0,15,11|0,15,12;106,1,12</v>
      </c>
    </row>
    <row r="133" spans="1:3">
      <c r="A133" s="4">
        <v>132</v>
      </c>
      <c r="B133" t="str">
        <f t="shared" si="9"/>
        <v>201,10,1|201,10,2|201,10,3|201,10,4;205,5,4|202,10,5|202,10,6|202,10,7|202,10,8;205,5,8|202,15,9|202,15,10|203,15,11|203,15,12;206,1,12</v>
      </c>
      <c r="C133" t="str">
        <f t="shared" si="10"/>
        <v>201,10,1|201,10,2|201,10,3|201,10,4;205,5,4|202,10,5|202,10,6|202,10,7|202,10,8;205,5,8|202,15,9|202,15,10|203,15,11|203,15,12;206,1,12</v>
      </c>
    </row>
    <row r="134" spans="1:3">
      <c r="A134" s="4">
        <v>133</v>
      </c>
      <c r="B134" t="str">
        <f t="shared" si="9"/>
        <v>301,10,1|301,10,2|301,10,3|301,10,4;305,5,4|302,5,5|302,10,6|302,10,7|302,10,8;305,5,8|302,15,9|302,15,10|303,15,11|303,15,12;306,1,12</v>
      </c>
      <c r="C134" t="str">
        <f t="shared" si="10"/>
        <v>301,10,1|301,10,2|301,10,3|301,10,4;305,5,4|302,5,5|302,10,6|302,10,7|302,10,8;305,5,8|302,15,9|302,15,10|303,15,11|303,15,12;306,1,12</v>
      </c>
    </row>
    <row r="135" spans="1:3">
      <c r="A135" s="4">
        <v>134</v>
      </c>
      <c r="B135" t="str">
        <f t="shared" si="9"/>
        <v>401,10,1|401,10,2|401,10,3|401,10,4;405,5,4|402,10,5|402,10,6|402,10,7|402,10,8;405,5,8|402,15,9|402,15,10|403,15,11|403,15,12;406,1,12</v>
      </c>
      <c r="C135" t="str">
        <f t="shared" si="10"/>
        <v>401,10,1|401,10,2|401,10,3|401,10,4;405,5,4|402,10,5|402,10,6|402,10,7|402,10,8;405,5,8|402,15,9|402,15,10|403,15,11|403,15,12;406,1,12</v>
      </c>
    </row>
    <row r="136" spans="1:3">
      <c r="A136" s="4">
        <v>135</v>
      </c>
      <c r="B136" t="str">
        <f t="shared" si="9"/>
        <v>501,10,1|501,10,2|501,10,3|501,10,4;505,5,4|502,10,5|502,10,6|502,10,7|502,10,8;505,5,8|502,15,9|502,15,10|503,15,11|503,15,12;506,1,12</v>
      </c>
      <c r="C136" t="str">
        <f t="shared" si="10"/>
        <v>501,10,1|501,10,2|501,10,3|501,10,4;505,5,4|502,10,5|502,10,6|502,10,7|502,10,8;505,5,8|502,15,9|502,15,10|503,15,11|503,15,12;506,1,12</v>
      </c>
    </row>
    <row r="137" spans="1:3">
      <c r="A137" s="4">
        <v>136</v>
      </c>
      <c r="B137" t="str">
        <f t="shared" si="9"/>
        <v>601,10,1|601,10,2|601,10,3|601,10,4;605,5,4|602,10,5|602,10,6|602,10,7|602,10,8;605,5,8|602,15,9|602,15,10|603,15,11|603,15,12;606,1,12</v>
      </c>
      <c r="C137" t="str">
        <f t="shared" si="10"/>
        <v>601,10,1|601,10,2|601,10,3|601,10,4;605,5,4|602,10,5|602,10,6|602,10,7|602,10,8;605,5,8|602,15,9|602,15,10|603,15,11|603,15,12;606,1,12</v>
      </c>
    </row>
    <row r="138" spans="1:3">
      <c r="A138" s="4">
        <v>137</v>
      </c>
      <c r="B138" t="str">
        <f t="shared" si="9"/>
        <v>701,10,1|701,10,2|701,10,3|701,10,4;705,5,4|702,10,5|702,10,6|702,10,7|702,10,8;705,5,8|702,15,9|702,15,10|703,15,11|703,15,12;706,1,12</v>
      </c>
      <c r="C138" t="str">
        <f t="shared" si="10"/>
        <v>701,10,1|701,10,2|701,10,3|701,10,4;705,5,4|702,10,5|702,10,6|702,10,7|702,10,8;705,5,8|702,15,9|702,15,10|703,15,11|703,15,12;706,1,12</v>
      </c>
    </row>
    <row r="139" spans="1:3">
      <c r="A139" s="4">
        <v>138</v>
      </c>
      <c r="B139" t="str">
        <f t="shared" si="9"/>
        <v>801,10,1|801,10,2|801,10,3|801,10,4;805,5,4|802,10,5|802,10,6|802,10,7|802,10,8;805,5,8|802,15,9|802,15,10|803,15,11|803,15,12;806,1,12</v>
      </c>
      <c r="C139" t="str">
        <f t="shared" si="10"/>
        <v>801,10,1|801,10,2|801,10,3|801,10,4;805,5,4|802,10,5|802,10,6|802,10,7|802,10,8;805,5,8|802,15,9|802,15,10|803,15,11|803,15,12;806,1,12</v>
      </c>
    </row>
    <row r="140" spans="1:3">
      <c r="A140" s="4">
        <v>139</v>
      </c>
      <c r="B140" t="str">
        <f t="shared" si="9"/>
        <v>901,10,1|901,10,2|901,10,3|901,10,4;905,5,4|902,10,5|902,10,6|902,10,7|902,10,8;905,5,8|902,15,9|902,15,10|903,15,11|903,15,12;906,1,12</v>
      </c>
      <c r="C140" t="str">
        <f t="shared" si="10"/>
        <v>901,10,1|901,10,2|901,10,3|901,10,4;905,5,4|902,10,5|902,10,6|902,10,7|902,10,8;905,5,8|902,15,9|902,15,10|903,15,11|903,15,12;906,1,12</v>
      </c>
    </row>
    <row r="141" spans="1:3">
      <c r="A141" s="4">
        <v>140</v>
      </c>
      <c r="B141" t="str">
        <f t="shared" si="9"/>
        <v>1001,10,1|1001,10,2|1001,10,3|1001,10,4;1005,5,4|1002,10,5|1002,10,6|1002,10,7|1002,10,8;1005,5,8|1002,15,9|1002,15,10|1003,15,11|1003,15,12;1006,1,12</v>
      </c>
      <c r="C141" t="str">
        <f t="shared" si="10"/>
        <v>1001,10,1|1001,10,2|1001,10,3|1001,10,4;1005,5,4|1002,10,5|1002,10,6|1002,10,7|1002,10,8;1005,5,8|1002,15,9|1002,15,10|1003,15,11|1003,15,12;1006,1,12</v>
      </c>
    </row>
  </sheetData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11"/>
  <sheetViews>
    <sheetView workbookViewId="0">
      <selection activeCell="B11" sqref="B11:B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0" width="12.8888888888889"/>
    <col min="21" max="21" width="14.0277777777778" customWidth="1"/>
    <col min="24" max="24" width="12.8888888888889"/>
    <col min="29" max="29" width="8.88888888888889" style="7"/>
    <col min="30" max="30" width="12.8888888888889"/>
    <col min="35" max="35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401</v>
      </c>
      <c r="Y1" s="7">
        <v>3</v>
      </c>
      <c r="Z1" s="4">
        <v>402</v>
      </c>
      <c r="AA1" s="7">
        <v>403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21" si="0">ROUNDDOWN((B2-M2)/$X$6,0)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401</v>
      </c>
      <c r="J2" s="7">
        <v>10</v>
      </c>
      <c r="K2" s="7" t="str">
        <f>IF(H2=1,"",INDEX($X$1:$X$3,MATCH(H2,$V$1:$V$3,0)))</f>
        <v/>
      </c>
      <c r="L2" s="7" t="str">
        <f t="shared" ref="L2:L21" si="4">IF(H2=1,"",IF(H2=2,5,1))</f>
        <v/>
      </c>
      <c r="M2" s="7">
        <v>0</v>
      </c>
      <c r="N2" s="7">
        <f>IF(A2&lt;5,$X$1,IF(A2&gt;10,$AA$1,$Z$1))</f>
        <v>401</v>
      </c>
      <c r="O2" s="7">
        <v>10</v>
      </c>
      <c r="P2" s="7" t="str">
        <f>IF(H2=1,"",INDEX($X$1:$X$3,MATCH(H2,$V$1:$V$3,0)))</f>
        <v/>
      </c>
      <c r="Q2" s="7" t="str">
        <f t="shared" ref="Q2:Q21" si="5">IF(H2=1,"",IF(H2=2,5,1))</f>
        <v/>
      </c>
      <c r="R2" s="7"/>
      <c r="S2" s="7">
        <f t="shared" ref="S2:S21" si="6">SUM(J2,Q2,,O2,L2)</f>
        <v>20</v>
      </c>
      <c r="T2" s="7"/>
      <c r="U2" s="7">
        <f t="shared" ref="U2:U21" si="7">SUM(J2,L2)+15</f>
        <v>25</v>
      </c>
      <c r="V2" s="7">
        <v>2</v>
      </c>
      <c r="W2" s="4" t="s">
        <v>577</v>
      </c>
      <c r="X2" s="8">
        <v>405</v>
      </c>
      <c r="Y2" s="4">
        <v>5</v>
      </c>
      <c r="AA2" s="7"/>
      <c r="AB2" s="4">
        <v>70</v>
      </c>
      <c r="AC2" s="7">
        <v>50</v>
      </c>
    </row>
    <row r="3" spans="1:27">
      <c r="A3" s="7">
        <v>2</v>
      </c>
      <c r="B3" s="7">
        <f>B2+$AB$2</f>
        <v>170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401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>
        <v>0</v>
      </c>
      <c r="N3" s="7">
        <f>IF(A3&lt;5,$X$1,IF(A3&gt;10,$AA$1,$Z$1))</f>
        <v>401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406</v>
      </c>
      <c r="Y3" s="7">
        <v>10</v>
      </c>
      <c r="AA3" s="7"/>
    </row>
    <row r="4" spans="1:27">
      <c r="A4" s="7">
        <v>3</v>
      </c>
      <c r="B4" s="7">
        <f>B3+$AB$2</f>
        <v>240</v>
      </c>
      <c r="C4" s="7">
        <f t="shared" si="0"/>
        <v>6</v>
      </c>
      <c r="D4" s="7">
        <v>1</v>
      </c>
      <c r="E4" s="7">
        <f t="shared" si="1"/>
        <v>1.5</v>
      </c>
      <c r="F4" s="7">
        <f t="shared" si="2"/>
        <v>5</v>
      </c>
      <c r="G4" s="7">
        <f t="shared" si="3"/>
        <v>3.75</v>
      </c>
      <c r="H4" s="7">
        <v>1</v>
      </c>
      <c r="I4" s="7">
        <f>IF(A4&lt;5,$X$1,IF(A4&gt;10,$AA$1,$Z$1))</f>
        <v>401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>
        <v>0</v>
      </c>
      <c r="N4" s="7">
        <f>IF(A4&lt;5,$X$1,IF(A4&gt;10,$AA$1,$Z$1))</f>
        <v>401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f>B4+$AB$2</f>
        <v>310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>IF(A5&lt;5,$X$1,IF(A5&gt;10,$AA$1,$Z$1))</f>
        <v>401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>
        <v>0</v>
      </c>
      <c r="N5" s="7">
        <f>IF(A5&lt;5,$X$1,IF(A5&gt;10,$AA$1,$Z$1))</f>
        <v>401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</f>
        <v>380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>IF(A6&lt;5,$X$1,IF(A6&gt;10,$AA$1,$Z$1))</f>
        <v>402</v>
      </c>
      <c r="J6" s="7">
        <v>5</v>
      </c>
      <c r="K6" s="7">
        <f>IF(H6=1,"",INDEX($X$1:$X$3,MATCH(H6,$V$1:$V$3,0)))</f>
        <v>405</v>
      </c>
      <c r="L6" s="7">
        <f t="shared" si="4"/>
        <v>5</v>
      </c>
      <c r="M6" s="7">
        <v>0</v>
      </c>
      <c r="N6" s="7">
        <f>IF(A6&lt;5,$X$1,IF(A6&gt;10,$AA$1,$Z$1))</f>
        <v>402</v>
      </c>
      <c r="O6" s="7">
        <v>5</v>
      </c>
      <c r="P6" s="7">
        <f>IF(H6=1,"",INDEX($X$1:$X$3,MATCH(H6,$V$1:$V$3,0)))</f>
        <v>405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f>B6+$AB$2</f>
        <v>450</v>
      </c>
      <c r="C7" s="7">
        <f t="shared" si="0"/>
        <v>11</v>
      </c>
      <c r="D7" s="7">
        <v>2</v>
      </c>
      <c r="E7" s="7">
        <f t="shared" si="1"/>
        <v>2.25</v>
      </c>
      <c r="F7" s="7">
        <f t="shared" si="2"/>
        <v>9</v>
      </c>
      <c r="G7" s="7">
        <f t="shared" si="3"/>
        <v>10.125</v>
      </c>
      <c r="H7" s="7">
        <v>1</v>
      </c>
      <c r="I7" s="7">
        <f>IF(A7&lt;5,$X$1,IF(A7&gt;10,$AA$1,$Z$1))</f>
        <v>402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>
        <v>0</v>
      </c>
      <c r="N7" s="7">
        <f>IF(A7&lt;5,$X$1,IF(A7&gt;10,$AA$1,$Z$1))</f>
        <v>402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f>B7+$AB$2</f>
        <v>520</v>
      </c>
      <c r="C8" s="7">
        <f t="shared" si="0"/>
        <v>13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402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>
        <v>0</v>
      </c>
      <c r="N8" s="7">
        <f>IF(A8&lt;5,$X$1,IF(A8&gt;10,$AA$1,$Z$1))</f>
        <v>402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f>B8+$AB$2</f>
        <v>590</v>
      </c>
      <c r="C9" s="7">
        <f t="shared" si="0"/>
        <v>14</v>
      </c>
      <c r="D9" s="7">
        <v>3</v>
      </c>
      <c r="E9" s="7">
        <f t="shared" si="1"/>
        <v>3</v>
      </c>
      <c r="F9" s="7">
        <f t="shared" si="2"/>
        <v>11</v>
      </c>
      <c r="G9" s="7">
        <f t="shared" si="3"/>
        <v>16.5</v>
      </c>
      <c r="H9" s="7">
        <v>1</v>
      </c>
      <c r="I9" s="7">
        <f>IF(A9&lt;5,$X$1,IF(A9&gt;10,$AA$1,$Z$1))</f>
        <v>402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>
        <v>0</v>
      </c>
      <c r="N9" s="7">
        <f>IF(A9&lt;5,$X$1,IF(A9&gt;10,$AA$1,$Z$1))</f>
        <v>402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f>B9+$AB$2</f>
        <v>660</v>
      </c>
      <c r="C10" s="7">
        <f t="shared" si="0"/>
        <v>16</v>
      </c>
      <c r="D10" s="7">
        <v>4</v>
      </c>
      <c r="E10" s="7">
        <f t="shared" si="1"/>
        <v>3.75</v>
      </c>
      <c r="F10" s="7">
        <f t="shared" si="2"/>
        <v>13</v>
      </c>
      <c r="G10" s="7">
        <f t="shared" si="3"/>
        <v>24.375</v>
      </c>
      <c r="H10" s="7">
        <v>1</v>
      </c>
      <c r="I10" s="7">
        <f>IF(A10&lt;5,$X$1,IF(A10&gt;10,$AA$1,$Z$1))</f>
        <v>402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>
        <v>0</v>
      </c>
      <c r="N10" s="7">
        <f>IF(A10&lt;5,$X$1,IF(A10&gt;10,$AA$1,$Z$1))</f>
        <v>402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f>B10+$AB$2+20</f>
        <v>750</v>
      </c>
      <c r="C11" s="7">
        <f t="shared" si="0"/>
        <v>18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>IF(A11&lt;5,$X$1,IF(A11&gt;10,$AA$1,$Z$1))</f>
        <v>402</v>
      </c>
      <c r="J11" s="7">
        <v>10</v>
      </c>
      <c r="K11" s="7">
        <f>IF(H11=1,"",INDEX($X$1:$X$3,MATCH(H11,$V$1:$V$3,0)))</f>
        <v>406</v>
      </c>
      <c r="L11" s="7">
        <f t="shared" si="4"/>
        <v>1</v>
      </c>
      <c r="M11" s="7">
        <v>0</v>
      </c>
      <c r="N11" s="7">
        <f>IF(A11&lt;5,$X$1,IF(A11&gt;10,$AA$1,$Z$1))</f>
        <v>402</v>
      </c>
      <c r="O11" s="7">
        <v>10</v>
      </c>
      <c r="P11" s="7">
        <f>IF(H11=1,"",INDEX($X$1:$X$3,MATCH(H11,$V$1:$V$3,0)))</f>
        <v>406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f t="shared" ref="B12:B31" si="10">B11+$AB$2+20</f>
        <v>840</v>
      </c>
      <c r="C12" s="7">
        <f t="shared" si="0"/>
        <v>21</v>
      </c>
      <c r="D12" s="7">
        <v>5</v>
      </c>
      <c r="E12" s="7"/>
      <c r="F12" s="7">
        <f t="shared" si="2"/>
        <v>17</v>
      </c>
      <c r="G12" s="7">
        <f t="shared" ref="G12:G14" si="11">($G$15-$G$11)/4+G11</f>
        <v>42.45</v>
      </c>
      <c r="H12" s="7">
        <v>1</v>
      </c>
      <c r="I12" s="7">
        <f>IF(A12&lt;5,$X$1,IF(A12&gt;10,$AA$1,$Z$1))</f>
        <v>403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>
        <v>0</v>
      </c>
      <c r="N12" s="7">
        <f>IF(A12&lt;5,$X$1,IF(A12&gt;10,$AA$1,$Z$1))</f>
        <v>403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 t="shared" si="10"/>
        <v>930</v>
      </c>
      <c r="C13" s="7">
        <f t="shared" si="0"/>
        <v>23</v>
      </c>
      <c r="D13" s="7">
        <v>8</v>
      </c>
      <c r="E13" s="7"/>
      <c r="F13" s="7">
        <f t="shared" si="2"/>
        <v>18</v>
      </c>
      <c r="G13" s="7">
        <f t="shared" si="11"/>
        <v>49.9</v>
      </c>
      <c r="H13" s="7">
        <v>1</v>
      </c>
      <c r="I13" s="7">
        <f>IF(A13&lt;5,$X$1,IF(A13&gt;10,$AA$1,$Z$1))</f>
        <v>403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>
        <v>0</v>
      </c>
      <c r="N13" s="7">
        <f>IF(A13&lt;5,$X$1,IF(A13&gt;10,$AA$1,$Z$1))</f>
        <v>403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 t="shared" si="10"/>
        <v>1020</v>
      </c>
      <c r="C14" s="7">
        <f t="shared" si="0"/>
        <v>25</v>
      </c>
      <c r="D14" s="7">
        <v>9</v>
      </c>
      <c r="E14" s="7"/>
      <c r="F14" s="7">
        <f t="shared" si="2"/>
        <v>20</v>
      </c>
      <c r="G14" s="7">
        <f t="shared" si="11"/>
        <v>57.35</v>
      </c>
      <c r="H14" s="7">
        <v>1</v>
      </c>
      <c r="I14" s="7">
        <f>IF(A14&lt;5,$X$1,IF(A14&gt;10,$AA$1,$Z$1))</f>
        <v>403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>
        <v>0</v>
      </c>
      <c r="N14" s="7">
        <f>IF(A14&lt;5,$X$1,IF(A14&gt;10,$AA$1,$Z$1))</f>
        <v>403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f t="shared" si="10"/>
        <v>1110</v>
      </c>
      <c r="C15" s="7">
        <f t="shared" si="0"/>
        <v>27</v>
      </c>
      <c r="D15" s="7">
        <v>10</v>
      </c>
      <c r="E15" s="7"/>
      <c r="F15" s="7">
        <f t="shared" si="2"/>
        <v>22</v>
      </c>
      <c r="G15" s="7">
        <f>G31*0.2</f>
        <v>64.8</v>
      </c>
      <c r="H15" s="7">
        <v>1</v>
      </c>
      <c r="I15" s="7">
        <f>IF(A15&lt;5,$X$1,IF(A15&gt;10,$AA$1,$Z$1))</f>
        <v>403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>
        <v>0</v>
      </c>
      <c r="N15" s="7">
        <f>IF(A15&lt;5,$X$1,IF(A15&gt;10,$AA$1,$Z$1))</f>
        <v>403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f t="shared" si="10"/>
        <v>1200</v>
      </c>
      <c r="C16" s="7">
        <f t="shared" si="0"/>
        <v>30</v>
      </c>
      <c r="D16" s="7">
        <v>11</v>
      </c>
      <c r="E16" s="7"/>
      <c r="F16" s="7">
        <f t="shared" si="2"/>
        <v>24</v>
      </c>
      <c r="G16" s="7">
        <f t="shared" ref="G16:G19" si="12">($G$20-$G$15)/5+G15</f>
        <v>77.76</v>
      </c>
      <c r="H16" s="7">
        <v>2</v>
      </c>
      <c r="I16" s="7">
        <f>IF(A16&lt;5,$X$1,IF(A16&gt;10,$AA$1,$Z$1))</f>
        <v>403</v>
      </c>
      <c r="J16" s="7">
        <v>10</v>
      </c>
      <c r="K16" s="7">
        <f>IF(H16=1,"",INDEX($X$1:$X$3,MATCH(H16,$V$1:$V$3,0)))</f>
        <v>405</v>
      </c>
      <c r="L16" s="7">
        <f t="shared" si="4"/>
        <v>5</v>
      </c>
      <c r="M16" s="7">
        <v>0</v>
      </c>
      <c r="N16" s="7">
        <f>IF(A16&lt;5,$X$1,IF(A16&gt;10,$AA$1,$Z$1))</f>
        <v>403</v>
      </c>
      <c r="O16" s="7">
        <v>10</v>
      </c>
      <c r="P16" s="7">
        <f>IF(H16=1,"",INDEX($X$1:$X$3,MATCH(H16,$V$1:$V$3,0)))</f>
        <v>405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f t="shared" si="10"/>
        <v>1290</v>
      </c>
      <c r="C17" s="7">
        <f t="shared" si="0"/>
        <v>32</v>
      </c>
      <c r="D17" s="7">
        <v>12</v>
      </c>
      <c r="E17" s="7"/>
      <c r="F17" s="7">
        <f t="shared" si="2"/>
        <v>26</v>
      </c>
      <c r="G17" s="7">
        <f t="shared" si="12"/>
        <v>90.72</v>
      </c>
      <c r="H17" s="7">
        <v>1</v>
      </c>
      <c r="I17" s="7">
        <f>IF(A17&lt;5,$X$1,IF(A17&gt;10,$AA$1,$Z$1))</f>
        <v>403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>
        <v>0</v>
      </c>
      <c r="N17" s="7">
        <f>IF(A17&lt;5,$X$1,IF(A17&gt;10,$AA$1,$Z$1))</f>
        <v>403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f t="shared" si="10"/>
        <v>1380</v>
      </c>
      <c r="C18" s="7">
        <f t="shared" si="0"/>
        <v>34</v>
      </c>
      <c r="D18" s="7">
        <v>13</v>
      </c>
      <c r="E18" s="7"/>
      <c r="F18" s="7">
        <f t="shared" si="2"/>
        <v>27</v>
      </c>
      <c r="G18" s="7">
        <f t="shared" si="12"/>
        <v>103.68</v>
      </c>
      <c r="H18" s="7">
        <v>1</v>
      </c>
      <c r="I18" s="7">
        <f>IF(A18&lt;5,$X$1,IF(A18&gt;10,$AA$1,$Z$1))</f>
        <v>403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>
        <v>0</v>
      </c>
      <c r="N18" s="7">
        <f>IF(A18&lt;5,$X$1,IF(A18&gt;10,$AA$1,$Z$1))</f>
        <v>403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f t="shared" si="10"/>
        <v>1470</v>
      </c>
      <c r="C19" s="7">
        <f t="shared" si="0"/>
        <v>36</v>
      </c>
      <c r="D19" s="7">
        <v>14</v>
      </c>
      <c r="E19" s="7"/>
      <c r="F19" s="7">
        <f t="shared" si="2"/>
        <v>29</v>
      </c>
      <c r="G19" s="7">
        <f t="shared" si="12"/>
        <v>116.64</v>
      </c>
      <c r="H19" s="7">
        <v>1</v>
      </c>
      <c r="I19" s="7">
        <f>IF(A19&lt;5,$X$1,IF(A19&gt;10,$AA$1,$Z$1))</f>
        <v>403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>
        <v>0</v>
      </c>
      <c r="N19" s="7">
        <f>IF(A19&lt;5,$X$1,IF(A19&gt;10,$AA$1,$Z$1))</f>
        <v>403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f t="shared" si="10"/>
        <v>1560</v>
      </c>
      <c r="C20" s="7">
        <f t="shared" si="0"/>
        <v>39</v>
      </c>
      <c r="D20" s="7">
        <v>15</v>
      </c>
      <c r="E20" s="7"/>
      <c r="F20" s="7">
        <f t="shared" si="2"/>
        <v>31</v>
      </c>
      <c r="G20" s="7">
        <f>G31*0.4</f>
        <v>129.6</v>
      </c>
      <c r="H20" s="7">
        <v>1</v>
      </c>
      <c r="I20" s="7">
        <f>IF(A20&lt;5,$X$1,IF(A20&gt;10,$AA$1,$Z$1))</f>
        <v>403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>
        <v>0</v>
      </c>
      <c r="N20" s="7">
        <f>IF(A20&lt;5,$X$1,IF(A20&gt;10,$AA$1,$Z$1))</f>
        <v>403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f t="shared" si="10"/>
        <v>1650</v>
      </c>
      <c r="C21" s="7">
        <f t="shared" si="0"/>
        <v>41</v>
      </c>
      <c r="D21" s="7">
        <v>16</v>
      </c>
      <c r="E21" s="7"/>
      <c r="F21" s="7">
        <f t="shared" si="2"/>
        <v>33</v>
      </c>
      <c r="G21" s="7">
        <f t="shared" ref="G21:G24" si="13">($G$25-$G$20)/5+G20</f>
        <v>142.56</v>
      </c>
      <c r="H21" s="7">
        <v>3</v>
      </c>
      <c r="I21" s="7">
        <f>IF(A21&lt;5,$X$1,IF(A21&gt;10,$AA$1,$Z$1))</f>
        <v>403</v>
      </c>
      <c r="J21" s="7">
        <v>15</v>
      </c>
      <c r="K21" s="7">
        <f>IF(H21=1,"",INDEX($X$1:$X$3,MATCH(H21,$V$1:$V$3,0)))</f>
        <v>406</v>
      </c>
      <c r="L21" s="7">
        <f t="shared" si="4"/>
        <v>1</v>
      </c>
      <c r="M21" s="7">
        <v>0</v>
      </c>
      <c r="N21" s="7">
        <f>IF(A21&lt;5,$X$1,IF(A21&gt;10,$AA$1,$Z$1))</f>
        <v>403</v>
      </c>
      <c r="O21" s="7">
        <v>15</v>
      </c>
      <c r="P21" s="7">
        <f>IF(H21=1,"",INDEX($X$1:$X$3,MATCH(H21,$V$1:$V$3,0)))</f>
        <v>406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>
        <f t="shared" si="10"/>
        <v>1740</v>
      </c>
      <c r="C22" s="7">
        <f t="shared" ref="C22:C33" si="14">ROUNDDOWN(B22/$X$6,0)</f>
        <v>43</v>
      </c>
      <c r="D22" s="7">
        <v>17</v>
      </c>
      <c r="E22" s="7"/>
      <c r="F22" s="7">
        <f t="shared" si="2"/>
        <v>34</v>
      </c>
      <c r="G22" s="7">
        <f t="shared" si="13"/>
        <v>155.52</v>
      </c>
      <c r="H22" s="7">
        <v>1</v>
      </c>
      <c r="I22" s="7">
        <f t="shared" ref="I22:I31" si="15">IF(A22&lt;5,$X$1,IF(A22&gt;10,$AA$1,$Z$1))</f>
        <v>403</v>
      </c>
      <c r="J22" s="7">
        <v>20</v>
      </c>
      <c r="K22" s="7" t="str">
        <f t="shared" ref="K22:K31" si="16">IF(H22=1,"",INDEX($X$1:$X$3,MATCH(H22,$V$1:$V$3,0)))</f>
        <v/>
      </c>
      <c r="L22" s="7" t="str">
        <f t="shared" ref="L22:L31" si="17">IF(H22=1,"",IF(H22=2,5,1))</f>
        <v/>
      </c>
      <c r="M22" s="7">
        <v>0</v>
      </c>
      <c r="N22" s="7">
        <f t="shared" ref="N22:N31" si="18">IF(A22&lt;5,$X$1,IF(A22&gt;10,$AA$1,$Z$1))</f>
        <v>403</v>
      </c>
      <c r="O22" s="7">
        <v>20</v>
      </c>
      <c r="P22" s="7" t="str">
        <f t="shared" ref="P22:P31" si="19">IF(H22=1,"",INDEX($X$1:$X$3,MATCH(H22,$V$1:$V$3,0)))</f>
        <v/>
      </c>
      <c r="Q22" s="7" t="str">
        <f t="shared" ref="Q22:Q31" si="20">IF(H22=1,"",IF(H22=2,5,1))</f>
        <v/>
      </c>
      <c r="R22" s="7"/>
      <c r="S22" s="7">
        <f t="shared" ref="S22:S31" si="21">SUM(J22,Q22,,O22,L22)</f>
        <v>40</v>
      </c>
      <c r="T22" s="7"/>
      <c r="U22" s="7"/>
      <c r="V22" s="7"/>
      <c r="Y22" s="4"/>
      <c r="AA22" s="7"/>
    </row>
    <row r="23" spans="1:27">
      <c r="A23" s="7">
        <v>22</v>
      </c>
      <c r="B23" s="7">
        <f t="shared" si="10"/>
        <v>1830</v>
      </c>
      <c r="C23" s="7">
        <f t="shared" si="14"/>
        <v>45</v>
      </c>
      <c r="D23" s="7">
        <v>20</v>
      </c>
      <c r="E23" s="7"/>
      <c r="F23" s="7">
        <f t="shared" si="2"/>
        <v>36</v>
      </c>
      <c r="G23" s="7">
        <f t="shared" si="13"/>
        <v>168.48</v>
      </c>
      <c r="H23" s="7">
        <v>1</v>
      </c>
      <c r="I23" s="7">
        <f t="shared" si="15"/>
        <v>403</v>
      </c>
      <c r="J23" s="7">
        <v>20</v>
      </c>
      <c r="K23" s="7" t="str">
        <f t="shared" si="16"/>
        <v/>
      </c>
      <c r="L23" s="7" t="str">
        <f t="shared" si="17"/>
        <v/>
      </c>
      <c r="M23" s="7">
        <v>0</v>
      </c>
      <c r="N23" s="7">
        <f t="shared" si="18"/>
        <v>403</v>
      </c>
      <c r="O23" s="7">
        <v>20</v>
      </c>
      <c r="P23" s="7" t="str">
        <f t="shared" si="19"/>
        <v/>
      </c>
      <c r="Q23" s="7" t="str">
        <f t="shared" si="20"/>
        <v/>
      </c>
      <c r="R23" s="7"/>
      <c r="S23" s="7">
        <f t="shared" si="21"/>
        <v>40</v>
      </c>
      <c r="T23" s="7"/>
      <c r="U23" s="7"/>
      <c r="V23" s="7"/>
      <c r="Y23" s="4"/>
      <c r="AA23" s="7"/>
    </row>
    <row r="24" spans="1:27">
      <c r="A24" s="7">
        <v>23</v>
      </c>
      <c r="B24" s="7">
        <f t="shared" si="10"/>
        <v>1920</v>
      </c>
      <c r="C24" s="7">
        <f t="shared" si="14"/>
        <v>48</v>
      </c>
      <c r="D24" s="7">
        <v>21</v>
      </c>
      <c r="E24" s="7"/>
      <c r="F24" s="7">
        <f t="shared" si="2"/>
        <v>38</v>
      </c>
      <c r="G24" s="7">
        <f t="shared" si="13"/>
        <v>181.44</v>
      </c>
      <c r="H24" s="7">
        <v>1</v>
      </c>
      <c r="I24" s="7">
        <f t="shared" si="15"/>
        <v>403</v>
      </c>
      <c r="J24" s="7">
        <v>20</v>
      </c>
      <c r="K24" s="7" t="str">
        <f t="shared" si="16"/>
        <v/>
      </c>
      <c r="L24" s="7" t="str">
        <f t="shared" si="17"/>
        <v/>
      </c>
      <c r="M24" s="7">
        <v>0</v>
      </c>
      <c r="N24" s="7">
        <f t="shared" si="18"/>
        <v>403</v>
      </c>
      <c r="O24" s="7">
        <v>20</v>
      </c>
      <c r="P24" s="7" t="str">
        <f t="shared" si="19"/>
        <v/>
      </c>
      <c r="Q24" s="7" t="str">
        <f t="shared" si="20"/>
        <v/>
      </c>
      <c r="R24" s="7"/>
      <c r="S24" s="7">
        <f t="shared" si="21"/>
        <v>40</v>
      </c>
      <c r="T24" s="7"/>
      <c r="U24" s="7"/>
      <c r="V24" s="7"/>
      <c r="Y24" s="4"/>
      <c r="AA24" s="7"/>
    </row>
    <row r="25" spans="1:27">
      <c r="A25" s="7">
        <v>24</v>
      </c>
      <c r="B25" s="7">
        <f t="shared" si="10"/>
        <v>2010</v>
      </c>
      <c r="C25" s="7">
        <f t="shared" si="14"/>
        <v>50</v>
      </c>
      <c r="D25" s="7">
        <v>22</v>
      </c>
      <c r="E25" s="7"/>
      <c r="F25" s="7">
        <f t="shared" si="2"/>
        <v>40</v>
      </c>
      <c r="G25" s="7">
        <f>G31*0.6</f>
        <v>194.4</v>
      </c>
      <c r="H25" s="7">
        <v>1</v>
      </c>
      <c r="I25" s="7">
        <f t="shared" si="15"/>
        <v>403</v>
      </c>
      <c r="J25" s="7">
        <v>20</v>
      </c>
      <c r="K25" s="7" t="str">
        <f t="shared" si="16"/>
        <v/>
      </c>
      <c r="L25" s="7" t="str">
        <f t="shared" si="17"/>
        <v/>
      </c>
      <c r="M25" s="7">
        <v>0</v>
      </c>
      <c r="N25" s="7">
        <f t="shared" si="18"/>
        <v>403</v>
      </c>
      <c r="O25" s="7">
        <v>20</v>
      </c>
      <c r="P25" s="7" t="str">
        <f t="shared" si="19"/>
        <v/>
      </c>
      <c r="Q25" s="7" t="str">
        <f t="shared" si="20"/>
        <v/>
      </c>
      <c r="R25" s="7"/>
      <c r="S25" s="7">
        <f t="shared" si="21"/>
        <v>40</v>
      </c>
      <c r="T25" s="7"/>
      <c r="U25" s="7"/>
      <c r="V25" s="7"/>
      <c r="Y25" s="4"/>
      <c r="AA25" s="7"/>
    </row>
    <row r="26" spans="1:27">
      <c r="A26" s="7">
        <v>25</v>
      </c>
      <c r="B26" s="7">
        <f t="shared" si="10"/>
        <v>2100</v>
      </c>
      <c r="C26" s="7">
        <f t="shared" si="14"/>
        <v>52</v>
      </c>
      <c r="D26" s="7">
        <v>23</v>
      </c>
      <c r="E26" s="7"/>
      <c r="F26" s="7">
        <f t="shared" si="2"/>
        <v>42</v>
      </c>
      <c r="G26" s="7">
        <f t="shared" ref="G26:G29" si="22">($G$30-$G$25)/5+G25</f>
        <v>210.6</v>
      </c>
      <c r="H26" s="7">
        <v>2</v>
      </c>
      <c r="I26" s="7">
        <f t="shared" si="15"/>
        <v>403</v>
      </c>
      <c r="J26" s="7">
        <v>10</v>
      </c>
      <c r="K26" s="7">
        <f t="shared" si="16"/>
        <v>405</v>
      </c>
      <c r="L26" s="7">
        <f t="shared" si="17"/>
        <v>5</v>
      </c>
      <c r="M26" s="7">
        <v>0</v>
      </c>
      <c r="N26" s="7">
        <f t="shared" si="18"/>
        <v>403</v>
      </c>
      <c r="O26" s="7">
        <v>10</v>
      </c>
      <c r="P26" s="7">
        <f t="shared" si="19"/>
        <v>405</v>
      </c>
      <c r="Q26" s="7">
        <f t="shared" si="20"/>
        <v>5</v>
      </c>
      <c r="R26" s="7"/>
      <c r="S26" s="7">
        <f t="shared" si="21"/>
        <v>30</v>
      </c>
      <c r="T26" s="7"/>
      <c r="U26" s="7"/>
      <c r="V26" s="7"/>
      <c r="Y26" s="4"/>
      <c r="AA26" s="7"/>
    </row>
    <row r="27" spans="1:27">
      <c r="A27" s="7">
        <v>26</v>
      </c>
      <c r="B27" s="7">
        <f t="shared" si="10"/>
        <v>2190</v>
      </c>
      <c r="C27" s="7">
        <f t="shared" si="14"/>
        <v>54</v>
      </c>
      <c r="D27" s="7">
        <v>24</v>
      </c>
      <c r="E27" s="7"/>
      <c r="F27" s="7">
        <f t="shared" si="2"/>
        <v>43</v>
      </c>
      <c r="G27" s="7">
        <f t="shared" si="22"/>
        <v>226.8</v>
      </c>
      <c r="H27" s="7">
        <v>1</v>
      </c>
      <c r="I27" s="7">
        <f t="shared" si="15"/>
        <v>403</v>
      </c>
      <c r="J27" s="7">
        <v>20</v>
      </c>
      <c r="K27" s="7" t="str">
        <f t="shared" si="16"/>
        <v/>
      </c>
      <c r="L27" s="7" t="str">
        <f t="shared" si="17"/>
        <v/>
      </c>
      <c r="M27" s="7">
        <v>0</v>
      </c>
      <c r="N27" s="7">
        <f t="shared" si="18"/>
        <v>403</v>
      </c>
      <c r="O27" s="7">
        <v>20</v>
      </c>
      <c r="P27" s="7" t="str">
        <f t="shared" si="19"/>
        <v/>
      </c>
      <c r="Q27" s="7" t="str">
        <f t="shared" si="20"/>
        <v/>
      </c>
      <c r="R27" s="7"/>
      <c r="S27" s="7">
        <f t="shared" si="21"/>
        <v>40</v>
      </c>
      <c r="T27" s="7"/>
      <c r="U27" s="7"/>
      <c r="V27" s="7"/>
      <c r="Y27" s="4"/>
      <c r="AA27" s="7"/>
    </row>
    <row r="28" spans="1:27">
      <c r="A28" s="7">
        <v>27</v>
      </c>
      <c r="B28" s="7">
        <f t="shared" si="10"/>
        <v>2280</v>
      </c>
      <c r="C28" s="7">
        <f t="shared" si="14"/>
        <v>57</v>
      </c>
      <c r="D28" s="7">
        <v>25</v>
      </c>
      <c r="E28" s="7"/>
      <c r="F28" s="7">
        <f t="shared" si="2"/>
        <v>46</v>
      </c>
      <c r="G28" s="7">
        <f t="shared" si="22"/>
        <v>243</v>
      </c>
      <c r="H28" s="7">
        <v>1</v>
      </c>
      <c r="I28" s="7">
        <f t="shared" si="15"/>
        <v>403</v>
      </c>
      <c r="J28" s="7">
        <v>20</v>
      </c>
      <c r="K28" s="7" t="str">
        <f t="shared" si="16"/>
        <v/>
      </c>
      <c r="L28" s="7" t="str">
        <f t="shared" si="17"/>
        <v/>
      </c>
      <c r="M28" s="7">
        <v>0</v>
      </c>
      <c r="N28" s="7">
        <f t="shared" si="18"/>
        <v>403</v>
      </c>
      <c r="O28" s="7">
        <v>20</v>
      </c>
      <c r="P28" s="7" t="str">
        <f t="shared" si="19"/>
        <v/>
      </c>
      <c r="Q28" s="7" t="str">
        <f t="shared" si="20"/>
        <v/>
      </c>
      <c r="R28" s="7"/>
      <c r="S28" s="7">
        <f t="shared" si="21"/>
        <v>40</v>
      </c>
      <c r="T28" s="7"/>
      <c r="U28" s="7"/>
      <c r="V28" s="7"/>
      <c r="Y28" s="4"/>
      <c r="AA28" s="7"/>
    </row>
    <row r="29" spans="1:27">
      <c r="A29" s="7">
        <v>28</v>
      </c>
      <c r="B29" s="7">
        <f t="shared" si="10"/>
        <v>2370</v>
      </c>
      <c r="C29" s="7">
        <f t="shared" si="14"/>
        <v>59</v>
      </c>
      <c r="D29" s="7">
        <v>26</v>
      </c>
      <c r="E29" s="7"/>
      <c r="F29" s="7">
        <f t="shared" si="2"/>
        <v>47</v>
      </c>
      <c r="G29" s="7">
        <f t="shared" si="22"/>
        <v>259.2</v>
      </c>
      <c r="H29" s="7">
        <v>1</v>
      </c>
      <c r="I29" s="7">
        <f t="shared" si="15"/>
        <v>403</v>
      </c>
      <c r="J29" s="7">
        <v>20</v>
      </c>
      <c r="K29" s="7" t="str">
        <f t="shared" si="16"/>
        <v/>
      </c>
      <c r="L29" s="7" t="str">
        <f t="shared" si="17"/>
        <v/>
      </c>
      <c r="M29" s="7">
        <v>0</v>
      </c>
      <c r="N29" s="7">
        <f t="shared" si="18"/>
        <v>403</v>
      </c>
      <c r="O29" s="7">
        <v>20</v>
      </c>
      <c r="P29" s="7" t="str">
        <f t="shared" si="19"/>
        <v/>
      </c>
      <c r="Q29" s="7" t="str">
        <f t="shared" si="20"/>
        <v/>
      </c>
      <c r="R29" s="7"/>
      <c r="S29" s="7">
        <f t="shared" si="21"/>
        <v>40</v>
      </c>
      <c r="T29" s="7"/>
      <c r="U29" s="7"/>
      <c r="V29" s="7"/>
      <c r="Y29" s="4"/>
      <c r="AA29" s="7"/>
    </row>
    <row r="30" spans="1:27">
      <c r="A30" s="7">
        <v>29</v>
      </c>
      <c r="B30" s="7">
        <f t="shared" si="10"/>
        <v>2460</v>
      </c>
      <c r="C30" s="7">
        <f t="shared" si="14"/>
        <v>61</v>
      </c>
      <c r="D30" s="7">
        <v>27</v>
      </c>
      <c r="E30" s="7"/>
      <c r="F30" s="7">
        <f t="shared" si="2"/>
        <v>49</v>
      </c>
      <c r="G30" s="7">
        <f>G31*0.85</f>
        <v>275.4</v>
      </c>
      <c r="H30" s="7">
        <v>1</v>
      </c>
      <c r="I30" s="7">
        <f t="shared" si="15"/>
        <v>403</v>
      </c>
      <c r="J30" s="7">
        <v>20</v>
      </c>
      <c r="K30" s="7" t="str">
        <f t="shared" si="16"/>
        <v/>
      </c>
      <c r="L30" s="7" t="str">
        <f t="shared" si="17"/>
        <v/>
      </c>
      <c r="M30" s="7">
        <v>0</v>
      </c>
      <c r="N30" s="7">
        <f t="shared" si="18"/>
        <v>403</v>
      </c>
      <c r="O30" s="7">
        <v>20</v>
      </c>
      <c r="P30" s="7" t="str">
        <f t="shared" si="19"/>
        <v/>
      </c>
      <c r="Q30" s="7" t="str">
        <f t="shared" si="20"/>
        <v/>
      </c>
      <c r="R30" s="7"/>
      <c r="S30" s="7">
        <f t="shared" si="21"/>
        <v>40</v>
      </c>
      <c r="T30" s="7"/>
      <c r="U30" s="7"/>
      <c r="V30" s="7"/>
      <c r="Y30" s="4"/>
      <c r="AA30" s="7"/>
    </row>
    <row r="31" spans="1:27">
      <c r="A31" s="7">
        <v>30</v>
      </c>
      <c r="B31" s="7">
        <f t="shared" si="10"/>
        <v>2550</v>
      </c>
      <c r="C31" s="7">
        <f t="shared" si="14"/>
        <v>63</v>
      </c>
      <c r="D31" s="7">
        <v>28</v>
      </c>
      <c r="E31" s="7"/>
      <c r="F31" s="7">
        <f t="shared" si="2"/>
        <v>50</v>
      </c>
      <c r="G31" s="7">
        <v>324</v>
      </c>
      <c r="H31" s="7">
        <v>3</v>
      </c>
      <c r="I31" s="7">
        <f t="shared" si="15"/>
        <v>403</v>
      </c>
      <c r="J31" s="7">
        <v>20</v>
      </c>
      <c r="K31" s="7">
        <f t="shared" si="16"/>
        <v>406</v>
      </c>
      <c r="L31" s="7">
        <f t="shared" si="17"/>
        <v>1</v>
      </c>
      <c r="M31" s="7">
        <v>0</v>
      </c>
      <c r="N31" s="7">
        <f t="shared" si="18"/>
        <v>403</v>
      </c>
      <c r="O31" s="7">
        <v>20</v>
      </c>
      <c r="P31" s="7">
        <f t="shared" si="19"/>
        <v>406</v>
      </c>
      <c r="Q31" s="7">
        <f t="shared" si="20"/>
        <v>1</v>
      </c>
      <c r="R31" s="7"/>
      <c r="S31" s="7">
        <f t="shared" si="21"/>
        <v>42</v>
      </c>
      <c r="T31" s="7"/>
      <c r="U31" s="7"/>
      <c r="V31" s="7"/>
      <c r="Y31" s="4"/>
      <c r="AA31" s="7"/>
    </row>
    <row r="32" spans="1:27">
      <c r="A32" s="7"/>
      <c r="B32" s="7"/>
      <c r="C32" s="7">
        <f t="shared" si="14"/>
        <v>0</v>
      </c>
      <c r="D32" s="7"/>
      <c r="E32" s="7"/>
      <c r="F32" s="7">
        <f t="shared" si="2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/>
      <c r="C33" s="7">
        <f t="shared" si="14"/>
        <v>0</v>
      </c>
      <c r="D33" s="7"/>
      <c r="E33" s="7"/>
      <c r="F33" s="7">
        <f t="shared" si="2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23">IF(I2="","",_xlfn.TEXTJOIN(",",TRUE,I2:J2))</f>
        <v>401,10</v>
      </c>
      <c r="J40" s="7" t="str">
        <f t="shared" ref="J40:J69" si="24">IF(I40="","",_xlfn.TEXTJOIN(",",TRUE,I40,H40))</f>
        <v>401,10,1</v>
      </c>
      <c r="K40" s="7" t="str">
        <f t="shared" si="23"/>
        <v/>
      </c>
      <c r="L40" s="7" t="str">
        <f t="shared" ref="L40:L69" si="25">IF(K40="","",_xlfn.TEXTJOIN(",",TRUE,K40,H40))</f>
        <v/>
      </c>
      <c r="M40" s="7" t="str">
        <f t="shared" ref="M40:M69" si="26">_xlfn.TEXTJOIN(";",TRUE,J40,L40)</f>
        <v>401,10,1</v>
      </c>
      <c r="N40" s="7" t="str">
        <f t="shared" si="23"/>
        <v>401,10</v>
      </c>
      <c r="O40" s="7" t="str">
        <f t="shared" ref="O40:O69" si="27">IF(N40="","",N40&amp;","&amp;H40)</f>
        <v>401,10,1</v>
      </c>
      <c r="P40" s="7" t="str">
        <f t="shared" ref="P40:P69" si="28">IF(P2="","",P2&amp;","&amp;Q2)</f>
        <v/>
      </c>
      <c r="Q40" s="7" t="str">
        <f t="shared" ref="Q40:Q69" si="29">IF(P40="","",P40&amp;","&amp;H40)</f>
        <v/>
      </c>
      <c r="R40" s="7" t="str">
        <f t="shared" ref="R40:R69" si="30">_xlfn.TEXTJOIN(";",TRUE,O40,Q40)</f>
        <v>401,10,1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31">IF(I3="","",_xlfn.TEXTJOIN(",",TRUE,I3:J3))</f>
        <v>401,10</v>
      </c>
      <c r="J41" s="7" t="str">
        <f t="shared" si="24"/>
        <v>401,10,2</v>
      </c>
      <c r="K41" s="7" t="str">
        <f t="shared" si="31"/>
        <v/>
      </c>
      <c r="L41" s="7" t="str">
        <f t="shared" si="25"/>
        <v/>
      </c>
      <c r="M41" s="7" t="str">
        <f t="shared" si="26"/>
        <v>401,10,2</v>
      </c>
      <c r="N41" s="7" t="str">
        <f t="shared" si="31"/>
        <v>401,10</v>
      </c>
      <c r="O41" s="7" t="str">
        <f t="shared" si="27"/>
        <v>401,10,2</v>
      </c>
      <c r="P41" s="7" t="str">
        <f t="shared" si="28"/>
        <v/>
      </c>
      <c r="Q41" s="7" t="str">
        <f t="shared" si="29"/>
        <v/>
      </c>
      <c r="R41" s="7" t="str">
        <f t="shared" si="30"/>
        <v>401,10,2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32">IF(I4="","",_xlfn.TEXTJOIN(",",TRUE,I4:J4))</f>
        <v>401,10</v>
      </c>
      <c r="J42" s="7" t="str">
        <f t="shared" si="24"/>
        <v>401,10,3</v>
      </c>
      <c r="K42" s="7" t="str">
        <f t="shared" si="32"/>
        <v/>
      </c>
      <c r="L42" s="7" t="str">
        <f t="shared" si="25"/>
        <v/>
      </c>
      <c r="M42" s="7" t="str">
        <f t="shared" si="26"/>
        <v>401,10,3</v>
      </c>
      <c r="N42" s="7" t="str">
        <f t="shared" si="32"/>
        <v>401,10</v>
      </c>
      <c r="O42" s="7" t="str">
        <f t="shared" si="27"/>
        <v>401,10,3</v>
      </c>
      <c r="P42" s="7" t="str">
        <f t="shared" si="28"/>
        <v/>
      </c>
      <c r="Q42" s="7" t="str">
        <f t="shared" si="29"/>
        <v/>
      </c>
      <c r="R42" s="7" t="str">
        <f t="shared" si="30"/>
        <v>401,10,3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33">IF(I5="","",_xlfn.TEXTJOIN(",",TRUE,I5:J5))</f>
        <v>401,10</v>
      </c>
      <c r="J43" s="7" t="str">
        <f t="shared" si="24"/>
        <v>401,10,4</v>
      </c>
      <c r="K43" s="7" t="str">
        <f t="shared" si="33"/>
        <v/>
      </c>
      <c r="L43" s="7" t="str">
        <f t="shared" si="25"/>
        <v/>
      </c>
      <c r="M43" s="7" t="str">
        <f t="shared" si="26"/>
        <v>401,10,4</v>
      </c>
      <c r="N43" s="7" t="str">
        <f t="shared" si="33"/>
        <v>401,10</v>
      </c>
      <c r="O43" s="7" t="str">
        <f t="shared" si="27"/>
        <v>401,10,4</v>
      </c>
      <c r="P43" s="7" t="str">
        <f t="shared" si="28"/>
        <v/>
      </c>
      <c r="Q43" s="7" t="str">
        <f t="shared" si="29"/>
        <v/>
      </c>
      <c r="R43" s="7" t="str">
        <f t="shared" si="30"/>
        <v>401,10,4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34">IF(I6="","",_xlfn.TEXTJOIN(",",TRUE,I6:J6))</f>
        <v>402,5</v>
      </c>
      <c r="J44" s="7" t="str">
        <f t="shared" si="24"/>
        <v>402,5,5</v>
      </c>
      <c r="K44" s="7" t="str">
        <f t="shared" si="34"/>
        <v>405,5</v>
      </c>
      <c r="L44" s="7" t="str">
        <f t="shared" si="25"/>
        <v>405,5,5</v>
      </c>
      <c r="M44" s="7" t="str">
        <f t="shared" si="26"/>
        <v>402,5,5;405,5,5</v>
      </c>
      <c r="N44" s="7" t="str">
        <f t="shared" si="34"/>
        <v>402,5</v>
      </c>
      <c r="O44" s="7" t="str">
        <f t="shared" si="27"/>
        <v>402,5,5</v>
      </c>
      <c r="P44" s="7" t="str">
        <f t="shared" si="28"/>
        <v>405,5</v>
      </c>
      <c r="Q44" s="7" t="str">
        <f t="shared" si="29"/>
        <v>405,5,5</v>
      </c>
      <c r="R44" s="7" t="str">
        <f t="shared" si="30"/>
        <v>402,5,5;405,5,5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35">IF(I7="","",_xlfn.TEXTJOIN(",",TRUE,I7:J7))</f>
        <v>402,10</v>
      </c>
      <c r="J45" s="7" t="str">
        <f t="shared" si="24"/>
        <v>402,10,6</v>
      </c>
      <c r="K45" s="7" t="str">
        <f t="shared" si="35"/>
        <v/>
      </c>
      <c r="L45" s="7" t="str">
        <f t="shared" si="25"/>
        <v/>
      </c>
      <c r="M45" s="7" t="str">
        <f t="shared" si="26"/>
        <v>402,10,6</v>
      </c>
      <c r="N45" s="7" t="str">
        <f t="shared" si="35"/>
        <v>402,10</v>
      </c>
      <c r="O45" s="7" t="str">
        <f t="shared" si="27"/>
        <v>402,10,6</v>
      </c>
      <c r="P45" s="7" t="str">
        <f t="shared" si="28"/>
        <v/>
      </c>
      <c r="Q45" s="7" t="str">
        <f t="shared" si="29"/>
        <v/>
      </c>
      <c r="R45" s="7" t="str">
        <f t="shared" si="30"/>
        <v>402,10,6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36">IF(I8="","",_xlfn.TEXTJOIN(",",TRUE,I8:J8))</f>
        <v>402,10</v>
      </c>
      <c r="J46" s="7" t="str">
        <f t="shared" si="24"/>
        <v>402,10,7</v>
      </c>
      <c r="K46" s="7" t="str">
        <f t="shared" si="36"/>
        <v/>
      </c>
      <c r="L46" s="7" t="str">
        <f t="shared" si="25"/>
        <v/>
      </c>
      <c r="M46" s="7" t="str">
        <f t="shared" si="26"/>
        <v>402,10,7</v>
      </c>
      <c r="N46" s="7" t="str">
        <f t="shared" si="36"/>
        <v>402,10</v>
      </c>
      <c r="O46" s="7" t="str">
        <f t="shared" si="27"/>
        <v>402,10,7</v>
      </c>
      <c r="P46" s="7" t="str">
        <f t="shared" si="28"/>
        <v/>
      </c>
      <c r="Q46" s="7" t="str">
        <f t="shared" si="29"/>
        <v/>
      </c>
      <c r="R46" s="7" t="str">
        <f t="shared" si="30"/>
        <v>402,10,7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37">IF(I9="","",_xlfn.TEXTJOIN(",",TRUE,I9:J9))</f>
        <v>402,10</v>
      </c>
      <c r="J47" s="7" t="str">
        <f t="shared" si="24"/>
        <v>402,10,8</v>
      </c>
      <c r="K47" s="7" t="str">
        <f t="shared" si="37"/>
        <v/>
      </c>
      <c r="L47" s="7" t="str">
        <f t="shared" si="25"/>
        <v/>
      </c>
      <c r="M47" s="7" t="str">
        <f t="shared" si="26"/>
        <v>402,10,8</v>
      </c>
      <c r="N47" s="7" t="str">
        <f t="shared" si="37"/>
        <v>402,10</v>
      </c>
      <c r="O47" s="7" t="str">
        <f t="shared" si="27"/>
        <v>402,10,8</v>
      </c>
      <c r="P47" s="7" t="str">
        <f t="shared" si="28"/>
        <v/>
      </c>
      <c r="Q47" s="7" t="str">
        <f t="shared" si="29"/>
        <v/>
      </c>
      <c r="R47" s="7" t="str">
        <f t="shared" si="30"/>
        <v>402,10,8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38">IF(I10="","",_xlfn.TEXTJOIN(",",TRUE,I10:J10))</f>
        <v>402,10</v>
      </c>
      <c r="J48" s="7" t="str">
        <f t="shared" si="24"/>
        <v>402,10,9</v>
      </c>
      <c r="K48" s="7" t="str">
        <f t="shared" si="38"/>
        <v/>
      </c>
      <c r="L48" s="7" t="str">
        <f t="shared" si="25"/>
        <v/>
      </c>
      <c r="M48" s="7" t="str">
        <f t="shared" si="26"/>
        <v>402,10,9</v>
      </c>
      <c r="N48" s="7" t="str">
        <f t="shared" si="38"/>
        <v>402,10</v>
      </c>
      <c r="O48" s="7" t="str">
        <f t="shared" si="27"/>
        <v>402,10,9</v>
      </c>
      <c r="P48" s="7" t="str">
        <f t="shared" si="28"/>
        <v/>
      </c>
      <c r="Q48" s="7" t="str">
        <f t="shared" si="29"/>
        <v/>
      </c>
      <c r="R48" s="7" t="str">
        <f t="shared" si="30"/>
        <v>402,10,9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9">IF(I11="","",_xlfn.TEXTJOIN(",",TRUE,I11:J11))</f>
        <v>402,10</v>
      </c>
      <c r="J49" s="7" t="str">
        <f t="shared" si="24"/>
        <v>402,10,10</v>
      </c>
      <c r="K49" s="7" t="str">
        <f t="shared" si="39"/>
        <v>406,1</v>
      </c>
      <c r="L49" s="7" t="str">
        <f t="shared" si="25"/>
        <v>406,1,10</v>
      </c>
      <c r="M49" s="7" t="str">
        <f t="shared" si="26"/>
        <v>402,10,10;406,1,10</v>
      </c>
      <c r="N49" s="7" t="str">
        <f t="shared" si="39"/>
        <v>402,10</v>
      </c>
      <c r="O49" s="7" t="str">
        <f t="shared" si="27"/>
        <v>402,10,10</v>
      </c>
      <c r="P49" s="7" t="str">
        <f t="shared" si="28"/>
        <v>406,1</v>
      </c>
      <c r="Q49" s="7" t="str">
        <f t="shared" si="29"/>
        <v>406,1,10</v>
      </c>
      <c r="R49" s="7" t="str">
        <f t="shared" si="30"/>
        <v>402,10,10;406,1,10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40">IF(I12="","",_xlfn.TEXTJOIN(",",TRUE,I12:J12))</f>
        <v>403,15</v>
      </c>
      <c r="J50" s="7" t="str">
        <f t="shared" si="24"/>
        <v>403,15,11</v>
      </c>
      <c r="K50" s="7" t="str">
        <f t="shared" si="40"/>
        <v/>
      </c>
      <c r="L50" s="7" t="str">
        <f t="shared" si="25"/>
        <v/>
      </c>
      <c r="M50" s="7" t="str">
        <f t="shared" si="26"/>
        <v>403,15,11</v>
      </c>
      <c r="N50" s="7" t="str">
        <f t="shared" si="40"/>
        <v>403,15</v>
      </c>
      <c r="O50" s="7" t="str">
        <f t="shared" si="27"/>
        <v>403,15,11</v>
      </c>
      <c r="P50" s="7" t="str">
        <f t="shared" si="28"/>
        <v/>
      </c>
      <c r="Q50" s="7" t="str">
        <f t="shared" si="29"/>
        <v/>
      </c>
      <c r="R50" s="7" t="str">
        <f t="shared" si="30"/>
        <v>403,15,11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41">IF(I13="","",_xlfn.TEXTJOIN(",",TRUE,I13:J13))</f>
        <v>403,15</v>
      </c>
      <c r="J51" s="7" t="str">
        <f t="shared" si="24"/>
        <v>403,15,12</v>
      </c>
      <c r="K51" s="7" t="str">
        <f t="shared" si="41"/>
        <v/>
      </c>
      <c r="L51" s="7" t="str">
        <f t="shared" si="25"/>
        <v/>
      </c>
      <c r="M51" s="7" t="str">
        <f t="shared" si="26"/>
        <v>403,15,12</v>
      </c>
      <c r="N51" s="7" t="str">
        <f t="shared" si="41"/>
        <v>403,15</v>
      </c>
      <c r="O51" s="7" t="str">
        <f t="shared" si="27"/>
        <v>403,15,12</v>
      </c>
      <c r="P51" s="7" t="str">
        <f t="shared" si="28"/>
        <v/>
      </c>
      <c r="Q51" s="7" t="str">
        <f t="shared" si="29"/>
        <v/>
      </c>
      <c r="R51" s="7" t="str">
        <f t="shared" si="30"/>
        <v>403,15,12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42">IF(I14="","",_xlfn.TEXTJOIN(",",TRUE,I14:J14))</f>
        <v>403,15</v>
      </c>
      <c r="J52" s="7" t="str">
        <f t="shared" si="24"/>
        <v>403,15,13</v>
      </c>
      <c r="K52" s="7" t="str">
        <f t="shared" si="42"/>
        <v/>
      </c>
      <c r="L52" s="7" t="str">
        <f t="shared" si="25"/>
        <v/>
      </c>
      <c r="M52" s="7" t="str">
        <f t="shared" si="26"/>
        <v>403,15,13</v>
      </c>
      <c r="N52" s="7" t="str">
        <f t="shared" si="42"/>
        <v>403,15</v>
      </c>
      <c r="O52" s="7" t="str">
        <f t="shared" si="27"/>
        <v>403,15,13</v>
      </c>
      <c r="P52" s="7" t="str">
        <f t="shared" si="28"/>
        <v/>
      </c>
      <c r="Q52" s="7" t="str">
        <f t="shared" si="29"/>
        <v/>
      </c>
      <c r="R52" s="7" t="str">
        <f t="shared" si="30"/>
        <v>403,15,13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43">IF(I15="","",_xlfn.TEXTJOIN(",",TRUE,I15:J15))</f>
        <v>403,15</v>
      </c>
      <c r="J53" s="7" t="str">
        <f t="shared" si="24"/>
        <v>403,15,14</v>
      </c>
      <c r="K53" s="7" t="str">
        <f t="shared" si="43"/>
        <v/>
      </c>
      <c r="L53" s="7" t="str">
        <f t="shared" si="25"/>
        <v/>
      </c>
      <c r="M53" s="7" t="str">
        <f t="shared" si="26"/>
        <v>403,15,14</v>
      </c>
      <c r="N53" s="7" t="str">
        <f t="shared" si="43"/>
        <v>403,15</v>
      </c>
      <c r="O53" s="7" t="str">
        <f t="shared" si="27"/>
        <v>403,15,14</v>
      </c>
      <c r="P53" s="7" t="str">
        <f t="shared" si="28"/>
        <v/>
      </c>
      <c r="Q53" s="7" t="str">
        <f t="shared" si="29"/>
        <v/>
      </c>
      <c r="R53" s="7" t="str">
        <f t="shared" si="30"/>
        <v>403,15,14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44">IF(I16="","",_xlfn.TEXTJOIN(",",TRUE,I16:J16))</f>
        <v>403,10</v>
      </c>
      <c r="J54" s="7" t="str">
        <f t="shared" si="24"/>
        <v>403,10,15</v>
      </c>
      <c r="K54" s="7" t="str">
        <f t="shared" si="44"/>
        <v>405,5</v>
      </c>
      <c r="L54" s="7" t="str">
        <f t="shared" si="25"/>
        <v>405,5,15</v>
      </c>
      <c r="M54" s="7" t="str">
        <f t="shared" si="26"/>
        <v>403,10,15;405,5,15</v>
      </c>
      <c r="N54" s="7" t="str">
        <f t="shared" si="44"/>
        <v>403,10</v>
      </c>
      <c r="O54" s="7" t="str">
        <f t="shared" si="27"/>
        <v>403,10,15</v>
      </c>
      <c r="P54" s="7" t="str">
        <f t="shared" si="28"/>
        <v>405,5</v>
      </c>
      <c r="Q54" s="7" t="str">
        <f t="shared" si="29"/>
        <v>405,5,15</v>
      </c>
      <c r="R54" s="7" t="str">
        <f t="shared" si="30"/>
        <v>403,10,15;405,5,15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45">IF(I17="","",_xlfn.TEXTJOIN(",",TRUE,I17:J17))</f>
        <v>403,15</v>
      </c>
      <c r="J55" s="7" t="str">
        <f t="shared" si="24"/>
        <v>403,15,16</v>
      </c>
      <c r="K55" s="7" t="str">
        <f t="shared" si="45"/>
        <v/>
      </c>
      <c r="L55" s="7" t="str">
        <f t="shared" si="25"/>
        <v/>
      </c>
      <c r="M55" s="7" t="str">
        <f t="shared" si="26"/>
        <v>403,15,16</v>
      </c>
      <c r="N55" s="7" t="str">
        <f t="shared" si="45"/>
        <v>403,15</v>
      </c>
      <c r="O55" s="7" t="str">
        <f t="shared" si="27"/>
        <v>403,15,16</v>
      </c>
      <c r="P55" s="7" t="str">
        <f t="shared" si="28"/>
        <v/>
      </c>
      <c r="Q55" s="7" t="str">
        <f t="shared" si="29"/>
        <v/>
      </c>
      <c r="R55" s="7" t="str">
        <f t="shared" si="30"/>
        <v>403,15,16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46">IF(I18="","",_xlfn.TEXTJOIN(",",TRUE,I18:J18))</f>
        <v>403,15</v>
      </c>
      <c r="J56" s="7" t="str">
        <f t="shared" si="24"/>
        <v>403,15,17</v>
      </c>
      <c r="K56" s="7" t="str">
        <f t="shared" si="46"/>
        <v/>
      </c>
      <c r="L56" s="7" t="str">
        <f t="shared" si="25"/>
        <v/>
      </c>
      <c r="M56" s="7" t="str">
        <f t="shared" si="26"/>
        <v>403,15,17</v>
      </c>
      <c r="N56" s="7" t="str">
        <f t="shared" si="46"/>
        <v>403,15</v>
      </c>
      <c r="O56" s="7" t="str">
        <f t="shared" si="27"/>
        <v>403,15,17</v>
      </c>
      <c r="P56" s="7" t="str">
        <f t="shared" si="28"/>
        <v/>
      </c>
      <c r="Q56" s="7" t="str">
        <f t="shared" si="29"/>
        <v/>
      </c>
      <c r="R56" s="7" t="str">
        <f t="shared" si="30"/>
        <v>403,15,17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47">IF(I19="","",_xlfn.TEXTJOIN(",",TRUE,I19:J19))</f>
        <v>403,15</v>
      </c>
      <c r="J57" s="7" t="str">
        <f t="shared" si="24"/>
        <v>403,15,18</v>
      </c>
      <c r="K57" s="7" t="str">
        <f t="shared" si="47"/>
        <v/>
      </c>
      <c r="L57" s="7" t="str">
        <f t="shared" si="25"/>
        <v/>
      </c>
      <c r="M57" s="7" t="str">
        <f t="shared" si="26"/>
        <v>403,15,18</v>
      </c>
      <c r="N57" s="7" t="str">
        <f t="shared" si="47"/>
        <v>403,15</v>
      </c>
      <c r="O57" s="7" t="str">
        <f t="shared" si="27"/>
        <v>403,15,18</v>
      </c>
      <c r="P57" s="7" t="str">
        <f t="shared" si="28"/>
        <v/>
      </c>
      <c r="Q57" s="7" t="str">
        <f t="shared" si="29"/>
        <v/>
      </c>
      <c r="R57" s="7" t="str">
        <f t="shared" si="30"/>
        <v>403,15,18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48">IF(I20="","",_xlfn.TEXTJOIN(",",TRUE,I20:J20))</f>
        <v>403,15</v>
      </c>
      <c r="J58" s="7" t="str">
        <f t="shared" si="24"/>
        <v>403,15,19</v>
      </c>
      <c r="K58" s="7" t="str">
        <f t="shared" si="48"/>
        <v/>
      </c>
      <c r="L58" s="7" t="str">
        <f t="shared" si="25"/>
        <v/>
      </c>
      <c r="M58" s="7" t="str">
        <f t="shared" si="26"/>
        <v>403,15,19</v>
      </c>
      <c r="N58" s="7" t="str">
        <f t="shared" si="48"/>
        <v>403,15</v>
      </c>
      <c r="O58" s="7" t="str">
        <f t="shared" si="27"/>
        <v>403,15,19</v>
      </c>
      <c r="P58" s="7" t="str">
        <f t="shared" si="28"/>
        <v/>
      </c>
      <c r="Q58" s="7" t="str">
        <f t="shared" si="29"/>
        <v/>
      </c>
      <c r="R58" s="7" t="str">
        <f t="shared" si="30"/>
        <v>403,15,19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9">IF(I21="","",_xlfn.TEXTJOIN(",",TRUE,I21:J21))</f>
        <v>403,15</v>
      </c>
      <c r="J59" s="7" t="str">
        <f t="shared" si="24"/>
        <v>403,15,20</v>
      </c>
      <c r="K59" s="7" t="str">
        <f t="shared" si="49"/>
        <v>406,1</v>
      </c>
      <c r="L59" s="7" t="str">
        <f t="shared" si="25"/>
        <v>406,1,20</v>
      </c>
      <c r="M59" s="7" t="str">
        <f t="shared" si="26"/>
        <v>403,15,20;406,1,20</v>
      </c>
      <c r="N59" s="7" t="str">
        <f t="shared" si="49"/>
        <v>403,15</v>
      </c>
      <c r="O59" s="7" t="str">
        <f t="shared" si="27"/>
        <v>403,15,20</v>
      </c>
      <c r="P59" s="7" t="str">
        <f t="shared" si="28"/>
        <v>406,1</v>
      </c>
      <c r="Q59" s="7" t="str">
        <f t="shared" si="29"/>
        <v>406,1,20</v>
      </c>
      <c r="R59" s="7" t="str">
        <f t="shared" si="30"/>
        <v>403,15,20;406,1,20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50">IF(I22="","",_xlfn.TEXTJOIN(",",TRUE,I22:J22))</f>
        <v>403,20</v>
      </c>
      <c r="J60" s="7" t="str">
        <f t="shared" si="24"/>
        <v>403,20,21</v>
      </c>
      <c r="K60" s="7" t="str">
        <f t="shared" si="50"/>
        <v/>
      </c>
      <c r="L60" s="7" t="str">
        <f t="shared" si="25"/>
        <v/>
      </c>
      <c r="M60" s="7" t="str">
        <f t="shared" si="26"/>
        <v>403,20,21</v>
      </c>
      <c r="N60" s="7" t="str">
        <f t="shared" si="50"/>
        <v>403,20</v>
      </c>
      <c r="O60" s="7" t="str">
        <f t="shared" si="27"/>
        <v>403,20,21</v>
      </c>
      <c r="P60" s="7" t="str">
        <f t="shared" si="28"/>
        <v/>
      </c>
      <c r="Q60" s="7" t="str">
        <f t="shared" si="29"/>
        <v/>
      </c>
      <c r="R60" s="7" t="str">
        <f t="shared" si="30"/>
        <v>403,20,21</v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51">IF(I23="","",_xlfn.TEXTJOIN(",",TRUE,I23:J23))</f>
        <v>403,20</v>
      </c>
      <c r="J61" s="7" t="str">
        <f t="shared" si="24"/>
        <v>403,20,22</v>
      </c>
      <c r="K61" s="7" t="str">
        <f t="shared" si="51"/>
        <v/>
      </c>
      <c r="L61" s="7" t="str">
        <f t="shared" si="25"/>
        <v/>
      </c>
      <c r="M61" s="7" t="str">
        <f t="shared" si="26"/>
        <v>403,20,22</v>
      </c>
      <c r="N61" s="7" t="str">
        <f t="shared" si="51"/>
        <v>403,20</v>
      </c>
      <c r="O61" s="7" t="str">
        <f t="shared" si="27"/>
        <v>403,20,22</v>
      </c>
      <c r="P61" s="7" t="str">
        <f t="shared" si="28"/>
        <v/>
      </c>
      <c r="Q61" s="7" t="str">
        <f t="shared" si="29"/>
        <v/>
      </c>
      <c r="R61" s="7" t="str">
        <f t="shared" si="30"/>
        <v>403,20,22</v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52">IF(I24="","",_xlfn.TEXTJOIN(",",TRUE,I24:J24))</f>
        <v>403,20</v>
      </c>
      <c r="J62" s="7" t="str">
        <f t="shared" si="24"/>
        <v>403,20,23</v>
      </c>
      <c r="K62" s="7" t="str">
        <f t="shared" si="52"/>
        <v/>
      </c>
      <c r="L62" s="7" t="str">
        <f t="shared" si="25"/>
        <v/>
      </c>
      <c r="M62" s="7" t="str">
        <f t="shared" si="26"/>
        <v>403,20,23</v>
      </c>
      <c r="N62" s="7" t="str">
        <f t="shared" si="52"/>
        <v>403,20</v>
      </c>
      <c r="O62" s="7" t="str">
        <f t="shared" si="27"/>
        <v>403,20,23</v>
      </c>
      <c r="P62" s="7" t="str">
        <f t="shared" si="28"/>
        <v/>
      </c>
      <c r="Q62" s="7" t="str">
        <f t="shared" si="29"/>
        <v/>
      </c>
      <c r="R62" s="7" t="str">
        <f t="shared" si="30"/>
        <v>403,20,23</v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53">IF(I25="","",_xlfn.TEXTJOIN(",",TRUE,I25:J25))</f>
        <v>403,20</v>
      </c>
      <c r="J63" s="7" t="str">
        <f t="shared" si="24"/>
        <v>403,20,24</v>
      </c>
      <c r="K63" s="7" t="str">
        <f t="shared" si="53"/>
        <v/>
      </c>
      <c r="L63" s="7" t="str">
        <f t="shared" si="25"/>
        <v/>
      </c>
      <c r="M63" s="7" t="str">
        <f t="shared" si="26"/>
        <v>403,20,24</v>
      </c>
      <c r="N63" s="7" t="str">
        <f t="shared" si="53"/>
        <v>403,20</v>
      </c>
      <c r="O63" s="7" t="str">
        <f t="shared" si="27"/>
        <v>403,20,24</v>
      </c>
      <c r="P63" s="7" t="str">
        <f t="shared" si="28"/>
        <v/>
      </c>
      <c r="Q63" s="7" t="str">
        <f t="shared" si="29"/>
        <v/>
      </c>
      <c r="R63" s="7" t="str">
        <f t="shared" si="30"/>
        <v>403,20,24</v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54">IF(I26="","",_xlfn.TEXTJOIN(",",TRUE,I26:J26))</f>
        <v>403,10</v>
      </c>
      <c r="J64" s="7" t="str">
        <f t="shared" si="24"/>
        <v>403,10,25</v>
      </c>
      <c r="K64" s="7" t="str">
        <f t="shared" si="54"/>
        <v>405,5</v>
      </c>
      <c r="L64" s="7" t="str">
        <f t="shared" si="25"/>
        <v>405,5,25</v>
      </c>
      <c r="M64" s="7" t="str">
        <f t="shared" si="26"/>
        <v>403,10,25;405,5,25</v>
      </c>
      <c r="N64" s="7" t="str">
        <f t="shared" si="54"/>
        <v>403,10</v>
      </c>
      <c r="O64" s="7" t="str">
        <f t="shared" si="27"/>
        <v>403,10,25</v>
      </c>
      <c r="P64" s="7" t="str">
        <f t="shared" si="28"/>
        <v>405,5</v>
      </c>
      <c r="Q64" s="7" t="str">
        <f t="shared" si="29"/>
        <v>405,5,25</v>
      </c>
      <c r="R64" s="7" t="str">
        <f t="shared" si="30"/>
        <v>403,10,25;405,5,25</v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55">IF(I27="","",_xlfn.TEXTJOIN(",",TRUE,I27:J27))</f>
        <v>403,20</v>
      </c>
      <c r="J65" s="7" t="str">
        <f t="shared" si="24"/>
        <v>403,20,26</v>
      </c>
      <c r="K65" s="7" t="str">
        <f t="shared" si="55"/>
        <v/>
      </c>
      <c r="L65" s="7" t="str">
        <f t="shared" si="25"/>
        <v/>
      </c>
      <c r="M65" s="7" t="str">
        <f t="shared" si="26"/>
        <v>403,20,26</v>
      </c>
      <c r="N65" s="7" t="str">
        <f t="shared" si="55"/>
        <v>403,20</v>
      </c>
      <c r="O65" s="7" t="str">
        <f t="shared" si="27"/>
        <v>403,20,26</v>
      </c>
      <c r="P65" s="7" t="str">
        <f t="shared" si="28"/>
        <v/>
      </c>
      <c r="Q65" s="7" t="str">
        <f t="shared" si="29"/>
        <v/>
      </c>
      <c r="R65" s="7" t="str">
        <f t="shared" si="30"/>
        <v>403,20,26</v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56">IF(I28="","",_xlfn.TEXTJOIN(",",TRUE,I28:J28))</f>
        <v>403,20</v>
      </c>
      <c r="J66" s="7" t="str">
        <f t="shared" si="24"/>
        <v>403,20,27</v>
      </c>
      <c r="K66" s="7" t="str">
        <f t="shared" si="56"/>
        <v/>
      </c>
      <c r="L66" s="7" t="str">
        <f t="shared" si="25"/>
        <v/>
      </c>
      <c r="M66" s="7" t="str">
        <f t="shared" si="26"/>
        <v>403,20,27</v>
      </c>
      <c r="N66" s="7" t="str">
        <f t="shared" si="56"/>
        <v>403,20</v>
      </c>
      <c r="O66" s="7" t="str">
        <f t="shared" si="27"/>
        <v>403,20,27</v>
      </c>
      <c r="P66" s="7" t="str">
        <f t="shared" si="28"/>
        <v/>
      </c>
      <c r="Q66" s="7" t="str">
        <f t="shared" si="29"/>
        <v/>
      </c>
      <c r="R66" s="7" t="str">
        <f t="shared" si="30"/>
        <v>403,20,27</v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57">IF(I29="","",_xlfn.TEXTJOIN(",",TRUE,I29:J29))</f>
        <v>403,20</v>
      </c>
      <c r="J67" s="7" t="str">
        <f t="shared" si="24"/>
        <v>403,20,28</v>
      </c>
      <c r="K67" s="7" t="str">
        <f t="shared" si="57"/>
        <v/>
      </c>
      <c r="L67" s="7" t="str">
        <f t="shared" si="25"/>
        <v/>
      </c>
      <c r="M67" s="7" t="str">
        <f t="shared" si="26"/>
        <v>403,20,28</v>
      </c>
      <c r="N67" s="7" t="str">
        <f t="shared" si="57"/>
        <v>403,20</v>
      </c>
      <c r="O67" s="7" t="str">
        <f t="shared" si="27"/>
        <v>403,20,28</v>
      </c>
      <c r="P67" s="7" t="str">
        <f t="shared" si="28"/>
        <v/>
      </c>
      <c r="Q67" s="7" t="str">
        <f t="shared" si="29"/>
        <v/>
      </c>
      <c r="R67" s="7" t="str">
        <f t="shared" si="30"/>
        <v>403,20,28</v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58">IF(I30="","",_xlfn.TEXTJOIN(",",TRUE,I30:J30))</f>
        <v>403,20</v>
      </c>
      <c r="J68" s="7" t="str">
        <f t="shared" si="24"/>
        <v>403,20,29</v>
      </c>
      <c r="K68" s="7" t="str">
        <f t="shared" si="58"/>
        <v/>
      </c>
      <c r="L68" s="7" t="str">
        <f t="shared" si="25"/>
        <v/>
      </c>
      <c r="M68" s="7" t="str">
        <f t="shared" si="26"/>
        <v>403,20,29</v>
      </c>
      <c r="N68" s="7" t="str">
        <f t="shared" si="58"/>
        <v>403,20</v>
      </c>
      <c r="O68" s="7" t="str">
        <f t="shared" si="27"/>
        <v>403,20,29</v>
      </c>
      <c r="P68" s="7" t="str">
        <f t="shared" si="28"/>
        <v/>
      </c>
      <c r="Q68" s="7" t="str">
        <f t="shared" si="29"/>
        <v/>
      </c>
      <c r="R68" s="7" t="str">
        <f t="shared" si="30"/>
        <v>403,20,29</v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9">IF(I31="","",_xlfn.TEXTJOIN(",",TRUE,I31:J31))</f>
        <v>403,20</v>
      </c>
      <c r="J69" s="7" t="str">
        <f t="shared" si="24"/>
        <v>403,20,30</v>
      </c>
      <c r="K69" s="7" t="str">
        <f t="shared" si="59"/>
        <v>406,1</v>
      </c>
      <c r="L69" s="7" t="str">
        <f t="shared" si="25"/>
        <v>406,1,30</v>
      </c>
      <c r="M69" s="7" t="str">
        <f t="shared" si="26"/>
        <v>403,20,30;406,1,30</v>
      </c>
      <c r="N69" s="7" t="str">
        <f t="shared" si="59"/>
        <v>403,20</v>
      </c>
      <c r="O69" s="7" t="str">
        <f t="shared" si="27"/>
        <v>403,20,30</v>
      </c>
      <c r="P69" s="7" t="str">
        <f t="shared" si="28"/>
        <v>406,1</v>
      </c>
      <c r="Q69" s="7" t="str">
        <f t="shared" si="29"/>
        <v>406,1,30</v>
      </c>
      <c r="R69" s="7" t="str">
        <f t="shared" si="30"/>
        <v>403,20,30;406,1,30</v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401,10,1|401,10,2|401,10,3|401,10,4|402,5,5;405,5,5|402,10,6|402,10,7|402,10,8|402,10,9|402,10,10;406,1,10|403,15,11|403,15,12|403,15,13|403,15,14|403,10,15;405,5,15|403,15,16|403,15,17|403,15,18|403,15,19|403,15,20;406,1,20|403,20,21|403,20,22|403,20,23|403,20,24|403,10,25;405,5,25|403,20,26|403,20,27|403,20,28|403,20,29|403,20,30;406,1,30</v>
      </c>
      <c r="N71" s="7"/>
      <c r="O71" s="7"/>
      <c r="P71" s="7"/>
      <c r="Q71" s="7"/>
      <c r="R71" s="15" t="str">
        <f>_xlfn.TEXTJOIN("|",TRUE,R40:R69)</f>
        <v>401,10,1|401,10,2|401,10,3|401,10,4|402,5,5;405,5,5|402,10,6|402,10,7|402,10,8|402,10,9|402,10,10;406,1,10|403,15,11|403,15,12|403,15,13|403,15,14|403,10,15;405,5,15|403,15,16|403,15,17|403,15,18|403,15,19|403,15,20;406,1,20|403,20,21|403,20,22|403,20,23|403,20,24|403,10,25;405,5,25|403,20,26|403,20,27|403,20,28|403,20,29|403,20,30;406,1,30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4</v>
      </c>
      <c r="O79" s="4">
        <f t="shared" ref="O79:O81" si="60">W79*(1-(N79-1)/6)*1</f>
        <v>1</v>
      </c>
      <c r="P79" s="7">
        <f>W79/6*1</f>
        <v>0.333333333333333</v>
      </c>
      <c r="Q79" s="7">
        <f>W79/6*1</f>
        <v>0.333333333333333</v>
      </c>
      <c r="R79" s="7">
        <f>W79/6*1</f>
        <v>0.333333333333333</v>
      </c>
      <c r="S79" s="7">
        <v>0</v>
      </c>
      <c r="T79" s="7">
        <v>0</v>
      </c>
      <c r="U79" s="7">
        <f>SUM(P79:T79)+O79*0.2</f>
        <v>1.2</v>
      </c>
      <c r="V79" s="4">
        <v>1</v>
      </c>
      <c r="W79" s="7">
        <f>C2</f>
        <v>2</v>
      </c>
      <c r="X79" s="4">
        <f t="shared" ref="X79:X108" si="61">(O79*W79)^V79</f>
        <v>2</v>
      </c>
      <c r="Y79" s="4">
        <f t="shared" ref="Y79:Y108" si="6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63">$R$77*U79*(AB79+AC79)</f>
        <v>1050</v>
      </c>
      <c r="AE79" s="4">
        <f t="shared" ref="AE79:AE108" si="64">ROUND(AD79/AA79*V79,0)</f>
        <v>53</v>
      </c>
      <c r="AF79" s="4">
        <f t="shared" ref="AF79:AF108" si="65">ROUND(AD79/AA79*V79*AG79,0)</f>
        <v>18</v>
      </c>
      <c r="AG79" s="4">
        <v>0.35</v>
      </c>
      <c r="AH79" s="4">
        <f>AF79</f>
        <v>18</v>
      </c>
    </row>
    <row r="80" customFormat="1" spans="1:34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4</v>
      </c>
      <c r="O80" s="4">
        <f t="shared" ref="O80:O108" si="66">W80*(1-(N80-1)/6)*1</f>
        <v>2</v>
      </c>
      <c r="P80" s="7">
        <f t="shared" ref="P80:P108" si="67">W80/6*1</f>
        <v>0.666666666666667</v>
      </c>
      <c r="Q80" s="7">
        <f t="shared" ref="Q80:Q108" si="68">W80/6*1</f>
        <v>0.666666666666667</v>
      </c>
      <c r="R80" s="7">
        <f t="shared" ref="R80:R108" si="69">W80/6*1</f>
        <v>0.666666666666667</v>
      </c>
      <c r="S80" s="7">
        <v>0</v>
      </c>
      <c r="T80" s="7">
        <v>0</v>
      </c>
      <c r="U80" s="7">
        <f t="shared" ref="U80:U108" si="70">SUM(P80:T80)+O80*0.2</f>
        <v>2.4</v>
      </c>
      <c r="V80" s="4">
        <v>1</v>
      </c>
      <c r="W80" s="7">
        <f t="shared" ref="W80:W108" si="71">C3</f>
        <v>4</v>
      </c>
      <c r="X80" s="4">
        <f t="shared" si="61"/>
        <v>8</v>
      </c>
      <c r="Y80" s="4">
        <f t="shared" si="6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63"/>
        <v>2100</v>
      </c>
      <c r="AE80" s="4">
        <f t="shared" si="64"/>
        <v>105</v>
      </c>
      <c r="AF80" s="4">
        <f t="shared" si="65"/>
        <v>37</v>
      </c>
      <c r="AG80" s="4">
        <v>0.35</v>
      </c>
      <c r="AH80" s="4">
        <f t="shared" ref="AH80:AH108" si="72">AF80</f>
        <v>37</v>
      </c>
    </row>
    <row r="81" customFormat="1" spans="1:34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4</v>
      </c>
      <c r="O81" s="4">
        <f t="shared" si="66"/>
        <v>3</v>
      </c>
      <c r="P81" s="7">
        <f t="shared" si="67"/>
        <v>1</v>
      </c>
      <c r="Q81" s="7">
        <f t="shared" si="68"/>
        <v>1</v>
      </c>
      <c r="R81" s="7">
        <f t="shared" si="69"/>
        <v>1</v>
      </c>
      <c r="S81" s="7">
        <v>0</v>
      </c>
      <c r="T81" s="7">
        <v>0</v>
      </c>
      <c r="U81" s="7">
        <f t="shared" si="70"/>
        <v>3.6</v>
      </c>
      <c r="V81" s="4">
        <v>1</v>
      </c>
      <c r="W81" s="7">
        <f t="shared" si="71"/>
        <v>6</v>
      </c>
      <c r="X81" s="4">
        <f t="shared" si="61"/>
        <v>18</v>
      </c>
      <c r="Y81" s="4">
        <f t="shared" si="6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63"/>
        <v>3150</v>
      </c>
      <c r="AE81" s="4">
        <f t="shared" si="64"/>
        <v>158</v>
      </c>
      <c r="AF81" s="4">
        <f t="shared" si="65"/>
        <v>63</v>
      </c>
      <c r="AG81" s="4">
        <v>0.4</v>
      </c>
      <c r="AH81" s="4">
        <f t="shared" si="72"/>
        <v>63</v>
      </c>
    </row>
    <row r="82" customFormat="1" spans="1:34">
      <c r="A82" s="4">
        <v>4</v>
      </c>
      <c r="B82" s="7">
        <v>1</v>
      </c>
      <c r="C82" s="7"/>
      <c r="D82" s="7"/>
      <c r="E82" s="7"/>
      <c r="F82" s="7"/>
      <c r="G82" s="7"/>
      <c r="H82" s="4">
        <v>1</v>
      </c>
      <c r="I82" s="4"/>
      <c r="J82" s="7"/>
      <c r="K82" s="7"/>
      <c r="L82" s="7">
        <v>0</v>
      </c>
      <c r="M82" s="7">
        <v>0</v>
      </c>
      <c r="N82" s="7">
        <v>4</v>
      </c>
      <c r="O82" s="4">
        <f t="shared" si="66"/>
        <v>3.5</v>
      </c>
      <c r="P82" s="7">
        <f t="shared" si="67"/>
        <v>1.16666666666667</v>
      </c>
      <c r="Q82" s="7">
        <f t="shared" si="68"/>
        <v>1.16666666666667</v>
      </c>
      <c r="R82" s="7">
        <f t="shared" si="69"/>
        <v>1.16666666666667</v>
      </c>
      <c r="S82" s="7">
        <v>0</v>
      </c>
      <c r="T82" s="7">
        <v>0</v>
      </c>
      <c r="U82" s="7">
        <f t="shared" si="70"/>
        <v>4.2</v>
      </c>
      <c r="V82" s="4">
        <v>1</v>
      </c>
      <c r="W82" s="7">
        <f t="shared" si="71"/>
        <v>7</v>
      </c>
      <c r="X82" s="4">
        <f t="shared" si="61"/>
        <v>24.5</v>
      </c>
      <c r="Y82" s="4">
        <f t="shared" si="6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63"/>
        <v>3675</v>
      </c>
      <c r="AE82" s="4">
        <f t="shared" si="64"/>
        <v>184</v>
      </c>
      <c r="AF82" s="4">
        <f t="shared" si="65"/>
        <v>74</v>
      </c>
      <c r="AG82" s="4">
        <v>0.4</v>
      </c>
      <c r="AH82" s="4">
        <f t="shared" si="72"/>
        <v>74</v>
      </c>
    </row>
    <row r="83" customFormat="1" spans="1:34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4</v>
      </c>
      <c r="O83" s="4">
        <f t="shared" si="66"/>
        <v>4.5</v>
      </c>
      <c r="P83" s="7">
        <f t="shared" si="67"/>
        <v>1.5</v>
      </c>
      <c r="Q83" s="7">
        <f t="shared" si="68"/>
        <v>1.5</v>
      </c>
      <c r="R83" s="7">
        <f t="shared" si="69"/>
        <v>1.5</v>
      </c>
      <c r="S83" s="7">
        <v>0</v>
      </c>
      <c r="T83" s="7">
        <v>0</v>
      </c>
      <c r="U83" s="7">
        <f t="shared" si="70"/>
        <v>5.4</v>
      </c>
      <c r="V83" s="4">
        <v>1</v>
      </c>
      <c r="W83" s="7">
        <f t="shared" si="71"/>
        <v>9</v>
      </c>
      <c r="X83" s="4">
        <f t="shared" si="61"/>
        <v>40.5</v>
      </c>
      <c r="Y83" s="4">
        <f t="shared" si="6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63"/>
        <v>4725</v>
      </c>
      <c r="AE83" s="4">
        <f t="shared" si="64"/>
        <v>118</v>
      </c>
      <c r="AF83" s="4">
        <f t="shared" si="65"/>
        <v>53</v>
      </c>
      <c r="AG83" s="4">
        <v>0.45</v>
      </c>
      <c r="AH83" s="4">
        <f t="shared" si="72"/>
        <v>53</v>
      </c>
    </row>
    <row r="84" customFormat="1" spans="1:34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/>
      <c r="K84" s="7"/>
      <c r="L84" s="7">
        <v>0</v>
      </c>
      <c r="M84" s="7">
        <v>0</v>
      </c>
      <c r="N84" s="7">
        <v>4</v>
      </c>
      <c r="O84" s="4">
        <f t="shared" si="66"/>
        <v>5.5</v>
      </c>
      <c r="P84" s="7">
        <f t="shared" si="67"/>
        <v>1.83333333333333</v>
      </c>
      <c r="Q84" s="7">
        <f t="shared" si="68"/>
        <v>1.83333333333333</v>
      </c>
      <c r="R84" s="7">
        <f t="shared" si="69"/>
        <v>1.83333333333333</v>
      </c>
      <c r="S84" s="7">
        <v>0</v>
      </c>
      <c r="T84" s="7">
        <v>0</v>
      </c>
      <c r="U84" s="7">
        <f t="shared" si="70"/>
        <v>6.6</v>
      </c>
      <c r="V84" s="4">
        <v>1</v>
      </c>
      <c r="W84" s="7">
        <f t="shared" si="71"/>
        <v>11</v>
      </c>
      <c r="X84" s="4">
        <f t="shared" si="61"/>
        <v>60.5</v>
      </c>
      <c r="Y84" s="4">
        <f t="shared" si="6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63"/>
        <v>5775</v>
      </c>
      <c r="AE84" s="4">
        <f t="shared" si="64"/>
        <v>289</v>
      </c>
      <c r="AF84" s="4">
        <f t="shared" si="65"/>
        <v>130</v>
      </c>
      <c r="AG84" s="4">
        <v>0.45</v>
      </c>
      <c r="AH84" s="4">
        <f t="shared" si="72"/>
        <v>130</v>
      </c>
    </row>
    <row r="85" customFormat="1" spans="1:34">
      <c r="A85" s="9">
        <v>7</v>
      </c>
      <c r="B85" s="10"/>
      <c r="C85" s="10"/>
      <c r="D85" s="10"/>
      <c r="E85" s="10"/>
      <c r="F85" s="10"/>
      <c r="G85" s="10"/>
      <c r="H85" s="4">
        <v>0.5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 t="shared" si="66"/>
        <v>6.5</v>
      </c>
      <c r="P85" s="7">
        <f t="shared" si="67"/>
        <v>2.16666666666667</v>
      </c>
      <c r="Q85" s="7">
        <f t="shared" si="68"/>
        <v>2.16666666666667</v>
      </c>
      <c r="R85" s="7">
        <f t="shared" si="69"/>
        <v>2.16666666666667</v>
      </c>
      <c r="S85" s="7">
        <v>0</v>
      </c>
      <c r="T85" s="7">
        <v>0</v>
      </c>
      <c r="U85" s="7">
        <f t="shared" si="70"/>
        <v>7.8</v>
      </c>
      <c r="V85" s="4">
        <v>1</v>
      </c>
      <c r="W85" s="7">
        <f t="shared" si="71"/>
        <v>13</v>
      </c>
      <c r="X85" s="4">
        <f t="shared" si="61"/>
        <v>84.5</v>
      </c>
      <c r="Y85" s="4">
        <f t="shared" si="6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63"/>
        <v>6825</v>
      </c>
      <c r="AE85" s="4">
        <f t="shared" si="64"/>
        <v>341</v>
      </c>
      <c r="AF85" s="4">
        <f t="shared" si="65"/>
        <v>154</v>
      </c>
      <c r="AG85" s="4">
        <v>0.45</v>
      </c>
      <c r="AH85" s="4">
        <f t="shared" si="72"/>
        <v>154</v>
      </c>
    </row>
    <row r="86" customFormat="1" spans="1:34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 t="shared" si="66"/>
        <v>7</v>
      </c>
      <c r="P86" s="7">
        <f t="shared" si="67"/>
        <v>2.33333333333333</v>
      </c>
      <c r="Q86" s="7">
        <f t="shared" si="68"/>
        <v>2.33333333333333</v>
      </c>
      <c r="R86" s="7">
        <f t="shared" si="69"/>
        <v>2.33333333333333</v>
      </c>
      <c r="S86" s="7">
        <v>0</v>
      </c>
      <c r="T86" s="7">
        <v>0</v>
      </c>
      <c r="U86" s="7">
        <f t="shared" si="70"/>
        <v>8.4</v>
      </c>
      <c r="V86" s="4">
        <v>1</v>
      </c>
      <c r="W86" s="7">
        <f t="shared" si="71"/>
        <v>14</v>
      </c>
      <c r="X86" s="4">
        <f t="shared" si="61"/>
        <v>98</v>
      </c>
      <c r="Y86" s="4">
        <f t="shared" si="6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63"/>
        <v>7350</v>
      </c>
      <c r="AE86" s="4">
        <f t="shared" si="64"/>
        <v>368</v>
      </c>
      <c r="AF86" s="4">
        <f t="shared" si="65"/>
        <v>165</v>
      </c>
      <c r="AG86" s="4">
        <v>0.45</v>
      </c>
      <c r="AH86" s="4">
        <f t="shared" si="72"/>
        <v>165</v>
      </c>
    </row>
    <row r="87" customFormat="1" spans="1:34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 t="shared" si="66"/>
        <v>8</v>
      </c>
      <c r="P87" s="7">
        <f t="shared" si="67"/>
        <v>2.66666666666667</v>
      </c>
      <c r="Q87" s="7">
        <f t="shared" si="68"/>
        <v>2.66666666666667</v>
      </c>
      <c r="R87" s="7">
        <f t="shared" si="69"/>
        <v>2.66666666666667</v>
      </c>
      <c r="S87" s="7">
        <v>0</v>
      </c>
      <c r="T87" s="7">
        <v>0</v>
      </c>
      <c r="U87" s="7">
        <f t="shared" si="70"/>
        <v>9.6</v>
      </c>
      <c r="V87" s="4">
        <v>1</v>
      </c>
      <c r="W87" s="7">
        <f t="shared" si="71"/>
        <v>16</v>
      </c>
      <c r="X87" s="4">
        <f t="shared" si="61"/>
        <v>128</v>
      </c>
      <c r="Y87" s="4">
        <f t="shared" si="6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63"/>
        <v>8400</v>
      </c>
      <c r="AE87" s="4">
        <f t="shared" si="64"/>
        <v>420</v>
      </c>
      <c r="AF87" s="4">
        <f t="shared" si="65"/>
        <v>189</v>
      </c>
      <c r="AG87" s="4">
        <v>0.45</v>
      </c>
      <c r="AH87" s="4">
        <f t="shared" si="72"/>
        <v>189</v>
      </c>
    </row>
    <row r="88" customFormat="1" spans="1:34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 t="shared" si="66"/>
        <v>9</v>
      </c>
      <c r="P88" s="7">
        <f t="shared" si="67"/>
        <v>3</v>
      </c>
      <c r="Q88" s="7">
        <f t="shared" si="68"/>
        <v>3</v>
      </c>
      <c r="R88" s="7">
        <f t="shared" si="69"/>
        <v>3</v>
      </c>
      <c r="S88" s="7">
        <v>0</v>
      </c>
      <c r="T88" s="7">
        <v>0</v>
      </c>
      <c r="U88" s="7">
        <f t="shared" si="70"/>
        <v>10.8</v>
      </c>
      <c r="V88" s="4">
        <v>1</v>
      </c>
      <c r="W88" s="7">
        <f t="shared" si="71"/>
        <v>18</v>
      </c>
      <c r="X88" s="4">
        <f t="shared" si="61"/>
        <v>162</v>
      </c>
      <c r="Y88" s="4">
        <f t="shared" si="6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63"/>
        <v>9450</v>
      </c>
      <c r="AE88" s="4">
        <f t="shared" si="64"/>
        <v>236</v>
      </c>
      <c r="AF88" s="4">
        <f t="shared" si="65"/>
        <v>118</v>
      </c>
      <c r="AG88" s="4">
        <v>0.5</v>
      </c>
      <c r="AH88" s="4">
        <f t="shared" si="72"/>
        <v>118</v>
      </c>
    </row>
    <row r="89" customFormat="1" spans="1:34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 t="shared" si="66"/>
        <v>10.5</v>
      </c>
      <c r="P89" s="7">
        <f t="shared" si="67"/>
        <v>3.5</v>
      </c>
      <c r="Q89" s="7">
        <f t="shared" si="68"/>
        <v>3.5</v>
      </c>
      <c r="R89" s="7">
        <f t="shared" si="69"/>
        <v>3.5</v>
      </c>
      <c r="S89" s="7">
        <v>0</v>
      </c>
      <c r="T89" s="7">
        <v>0</v>
      </c>
      <c r="U89" s="7">
        <f t="shared" si="70"/>
        <v>12.6</v>
      </c>
      <c r="V89" s="4">
        <v>1</v>
      </c>
      <c r="W89" s="7">
        <f t="shared" si="71"/>
        <v>21</v>
      </c>
      <c r="X89" s="4">
        <f t="shared" si="61"/>
        <v>220.5</v>
      </c>
      <c r="Y89" s="4">
        <f t="shared" si="62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63"/>
        <v>11025</v>
      </c>
      <c r="AE89" s="4">
        <f t="shared" si="64"/>
        <v>368</v>
      </c>
      <c r="AF89" s="4">
        <f t="shared" si="65"/>
        <v>184</v>
      </c>
      <c r="AG89" s="4">
        <v>0.5</v>
      </c>
      <c r="AH89" s="4">
        <f t="shared" si="72"/>
        <v>184</v>
      </c>
    </row>
    <row r="90" customFormat="1" spans="1:34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 t="shared" si="66"/>
        <v>11.5</v>
      </c>
      <c r="P90" s="7">
        <f t="shared" si="67"/>
        <v>3.83333333333333</v>
      </c>
      <c r="Q90" s="7">
        <f t="shared" si="68"/>
        <v>3.83333333333333</v>
      </c>
      <c r="R90" s="7">
        <f t="shared" si="69"/>
        <v>3.83333333333333</v>
      </c>
      <c r="S90" s="7">
        <v>0</v>
      </c>
      <c r="T90" s="7">
        <v>0</v>
      </c>
      <c r="U90" s="7">
        <f t="shared" si="70"/>
        <v>13.8</v>
      </c>
      <c r="V90" s="4">
        <v>1</v>
      </c>
      <c r="W90" s="7">
        <f t="shared" si="71"/>
        <v>23</v>
      </c>
      <c r="X90" s="4">
        <f t="shared" si="61"/>
        <v>264.5</v>
      </c>
      <c r="Y90" s="4">
        <f t="shared" si="62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63"/>
        <v>12075</v>
      </c>
      <c r="AE90" s="4">
        <f t="shared" si="64"/>
        <v>403</v>
      </c>
      <c r="AF90" s="4">
        <f t="shared" si="65"/>
        <v>221</v>
      </c>
      <c r="AG90" s="4">
        <v>0.55</v>
      </c>
      <c r="AH90" s="4">
        <f t="shared" si="72"/>
        <v>221</v>
      </c>
    </row>
    <row r="91" customFormat="1" spans="1:34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 t="shared" si="66"/>
        <v>12.5</v>
      </c>
      <c r="P91" s="7">
        <f t="shared" si="67"/>
        <v>4.16666666666667</v>
      </c>
      <c r="Q91" s="7">
        <f t="shared" si="68"/>
        <v>4.16666666666667</v>
      </c>
      <c r="R91" s="7">
        <f t="shared" si="69"/>
        <v>4.16666666666667</v>
      </c>
      <c r="S91" s="7">
        <v>0</v>
      </c>
      <c r="T91" s="7">
        <v>0</v>
      </c>
      <c r="U91" s="7">
        <f t="shared" si="70"/>
        <v>15</v>
      </c>
      <c r="V91" s="4">
        <v>1</v>
      </c>
      <c r="W91" s="7">
        <f t="shared" si="71"/>
        <v>25</v>
      </c>
      <c r="X91" s="4">
        <f t="shared" si="61"/>
        <v>312.5</v>
      </c>
      <c r="Y91" s="4">
        <f t="shared" si="62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63"/>
        <v>13125</v>
      </c>
      <c r="AE91" s="4">
        <f t="shared" si="64"/>
        <v>438</v>
      </c>
      <c r="AF91" s="4">
        <f t="shared" si="65"/>
        <v>241</v>
      </c>
      <c r="AG91" s="4">
        <v>0.55</v>
      </c>
      <c r="AH91" s="4">
        <f t="shared" si="72"/>
        <v>241</v>
      </c>
    </row>
    <row r="92" customFormat="1" spans="1:34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 t="shared" si="66"/>
        <v>13.5</v>
      </c>
      <c r="P92" s="7">
        <f t="shared" si="67"/>
        <v>4.5</v>
      </c>
      <c r="Q92" s="7">
        <f t="shared" si="68"/>
        <v>4.5</v>
      </c>
      <c r="R92" s="7">
        <f t="shared" si="69"/>
        <v>4.5</v>
      </c>
      <c r="S92" s="7">
        <v>0</v>
      </c>
      <c r="T92" s="7">
        <v>0</v>
      </c>
      <c r="U92" s="7">
        <f t="shared" si="70"/>
        <v>16.2</v>
      </c>
      <c r="V92" s="4">
        <v>1</v>
      </c>
      <c r="W92" s="7">
        <f t="shared" si="71"/>
        <v>27</v>
      </c>
      <c r="X92" s="4">
        <f t="shared" si="61"/>
        <v>364.5</v>
      </c>
      <c r="Y92" s="4">
        <f t="shared" si="62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63"/>
        <v>14175</v>
      </c>
      <c r="AE92" s="4">
        <f t="shared" si="64"/>
        <v>473</v>
      </c>
      <c r="AF92" s="4">
        <f t="shared" si="65"/>
        <v>260</v>
      </c>
      <c r="AG92" s="4">
        <v>0.55</v>
      </c>
      <c r="AH92" s="4">
        <f t="shared" si="72"/>
        <v>260</v>
      </c>
    </row>
    <row r="93" customFormat="1" spans="1:34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 t="shared" si="66"/>
        <v>15</v>
      </c>
      <c r="P93" s="7">
        <f t="shared" si="67"/>
        <v>5</v>
      </c>
      <c r="Q93" s="7">
        <f t="shared" si="68"/>
        <v>5</v>
      </c>
      <c r="R93" s="7">
        <f t="shared" si="69"/>
        <v>5</v>
      </c>
      <c r="S93" s="7">
        <v>0</v>
      </c>
      <c r="T93" s="7">
        <v>0</v>
      </c>
      <c r="U93" s="7">
        <f t="shared" si="70"/>
        <v>18</v>
      </c>
      <c r="V93" s="4">
        <v>1.1</v>
      </c>
      <c r="W93" s="7">
        <f t="shared" si="71"/>
        <v>30</v>
      </c>
      <c r="X93" s="4">
        <f t="shared" si="61"/>
        <v>828.960363063275</v>
      </c>
      <c r="Y93" s="4">
        <f t="shared" si="6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63"/>
        <v>15750</v>
      </c>
      <c r="AE93" s="4">
        <f t="shared" si="64"/>
        <v>433</v>
      </c>
      <c r="AF93" s="4">
        <f t="shared" si="65"/>
        <v>260</v>
      </c>
      <c r="AG93" s="4">
        <v>0.6</v>
      </c>
      <c r="AH93" s="4">
        <f t="shared" si="72"/>
        <v>260</v>
      </c>
    </row>
    <row r="94" customFormat="1" spans="1:34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 t="shared" si="66"/>
        <v>16</v>
      </c>
      <c r="P94" s="7">
        <f t="shared" si="67"/>
        <v>5.33333333333333</v>
      </c>
      <c r="Q94" s="7">
        <f t="shared" si="68"/>
        <v>5.33333333333333</v>
      </c>
      <c r="R94" s="7">
        <f t="shared" si="69"/>
        <v>5.33333333333333</v>
      </c>
      <c r="S94" s="7">
        <v>0</v>
      </c>
      <c r="T94" s="7">
        <v>0</v>
      </c>
      <c r="U94" s="7">
        <f t="shared" si="70"/>
        <v>19.2</v>
      </c>
      <c r="V94" s="4">
        <v>1.1</v>
      </c>
      <c r="W94" s="7">
        <f t="shared" si="71"/>
        <v>32</v>
      </c>
      <c r="X94" s="4">
        <f t="shared" si="61"/>
        <v>955.425783333691</v>
      </c>
      <c r="Y94" s="4">
        <f t="shared" si="62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63"/>
        <v>16800</v>
      </c>
      <c r="AE94" s="4">
        <f t="shared" si="64"/>
        <v>616</v>
      </c>
      <c r="AF94" s="4">
        <f t="shared" si="65"/>
        <v>370</v>
      </c>
      <c r="AG94" s="4">
        <v>0.6</v>
      </c>
      <c r="AH94" s="4">
        <f t="shared" si="72"/>
        <v>370</v>
      </c>
    </row>
    <row r="95" customFormat="1" spans="1:34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 t="shared" si="66"/>
        <v>17</v>
      </c>
      <c r="P95" s="7">
        <f t="shared" si="67"/>
        <v>5.66666666666667</v>
      </c>
      <c r="Q95" s="7">
        <f t="shared" si="68"/>
        <v>5.66666666666667</v>
      </c>
      <c r="R95" s="7">
        <f t="shared" si="69"/>
        <v>5.66666666666667</v>
      </c>
      <c r="S95" s="7">
        <v>0</v>
      </c>
      <c r="T95" s="7">
        <v>0</v>
      </c>
      <c r="U95" s="7">
        <f t="shared" si="70"/>
        <v>20.4</v>
      </c>
      <c r="V95" s="4">
        <v>1.1</v>
      </c>
      <c r="W95" s="7">
        <f t="shared" si="71"/>
        <v>34</v>
      </c>
      <c r="X95" s="4">
        <f t="shared" si="61"/>
        <v>1091.74351848939</v>
      </c>
      <c r="Y95" s="4">
        <f t="shared" si="62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63"/>
        <v>17850</v>
      </c>
      <c r="AE95" s="4">
        <f t="shared" si="64"/>
        <v>655</v>
      </c>
      <c r="AF95" s="4">
        <f t="shared" si="65"/>
        <v>393</v>
      </c>
      <c r="AG95" s="4">
        <v>0.6</v>
      </c>
      <c r="AH95" s="4">
        <f t="shared" si="72"/>
        <v>393</v>
      </c>
    </row>
    <row r="96" customFormat="1" spans="1:34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 t="shared" si="66"/>
        <v>18</v>
      </c>
      <c r="P96" s="7">
        <f t="shared" si="67"/>
        <v>6</v>
      </c>
      <c r="Q96" s="7">
        <f t="shared" si="68"/>
        <v>6</v>
      </c>
      <c r="R96" s="7">
        <f t="shared" si="69"/>
        <v>6</v>
      </c>
      <c r="S96" s="7">
        <v>0</v>
      </c>
      <c r="T96" s="7">
        <v>0</v>
      </c>
      <c r="U96" s="7">
        <f t="shared" si="70"/>
        <v>21.6</v>
      </c>
      <c r="V96" s="4">
        <v>1.1</v>
      </c>
      <c r="W96" s="7">
        <f t="shared" si="71"/>
        <v>36</v>
      </c>
      <c r="X96" s="4">
        <f t="shared" si="61"/>
        <v>1238.03381363756</v>
      </c>
      <c r="Y96" s="4">
        <f t="shared" si="62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63"/>
        <v>18900</v>
      </c>
      <c r="AE96" s="4">
        <f t="shared" si="64"/>
        <v>693</v>
      </c>
      <c r="AF96" s="4">
        <f t="shared" si="65"/>
        <v>450</v>
      </c>
      <c r="AG96" s="4">
        <v>0.65</v>
      </c>
      <c r="AH96" s="4">
        <f t="shared" si="72"/>
        <v>450</v>
      </c>
    </row>
    <row r="97" customFormat="1" spans="1:34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 t="shared" si="66"/>
        <v>19.5</v>
      </c>
      <c r="P97" s="7">
        <f t="shared" si="67"/>
        <v>6.5</v>
      </c>
      <c r="Q97" s="7">
        <f t="shared" si="68"/>
        <v>6.5</v>
      </c>
      <c r="R97" s="7">
        <f t="shared" si="69"/>
        <v>6.5</v>
      </c>
      <c r="S97" s="7">
        <v>0</v>
      </c>
      <c r="T97" s="7">
        <v>0</v>
      </c>
      <c r="U97" s="7">
        <f t="shared" si="70"/>
        <v>23.4</v>
      </c>
      <c r="V97" s="4">
        <v>1.1</v>
      </c>
      <c r="W97" s="7">
        <f t="shared" si="71"/>
        <v>39</v>
      </c>
      <c r="X97" s="4">
        <f t="shared" si="61"/>
        <v>1476.41735033167</v>
      </c>
      <c r="Y97" s="4">
        <f t="shared" si="62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63"/>
        <v>20475</v>
      </c>
      <c r="AE97" s="4">
        <f t="shared" si="64"/>
        <v>751</v>
      </c>
      <c r="AF97" s="4">
        <f t="shared" si="65"/>
        <v>488</v>
      </c>
      <c r="AG97" s="4">
        <v>0.65</v>
      </c>
      <c r="AH97" s="4">
        <f t="shared" si="72"/>
        <v>488</v>
      </c>
    </row>
    <row r="98" customFormat="1" spans="1:34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 t="shared" si="66"/>
        <v>20.5</v>
      </c>
      <c r="P98" s="7">
        <f t="shared" si="67"/>
        <v>6.83333333333333</v>
      </c>
      <c r="Q98" s="7">
        <f t="shared" si="68"/>
        <v>6.83333333333333</v>
      </c>
      <c r="R98" s="7">
        <f t="shared" si="69"/>
        <v>6.83333333333333</v>
      </c>
      <c r="S98" s="7">
        <v>0</v>
      </c>
      <c r="T98" s="7">
        <v>0</v>
      </c>
      <c r="U98" s="7">
        <f t="shared" si="70"/>
        <v>24.6</v>
      </c>
      <c r="V98" s="4">
        <v>1.2</v>
      </c>
      <c r="W98" s="7">
        <f t="shared" si="71"/>
        <v>41</v>
      </c>
      <c r="X98" s="4">
        <f t="shared" si="61"/>
        <v>3231.80583948089</v>
      </c>
      <c r="Y98" s="4">
        <f t="shared" si="6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63"/>
        <v>21525</v>
      </c>
      <c r="AE98" s="4">
        <f t="shared" si="64"/>
        <v>646</v>
      </c>
      <c r="AF98" s="4">
        <f t="shared" si="65"/>
        <v>420</v>
      </c>
      <c r="AG98" s="4">
        <v>0.65</v>
      </c>
      <c r="AH98" s="4">
        <f t="shared" si="72"/>
        <v>420</v>
      </c>
    </row>
    <row r="99" spans="1:34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 t="shared" si="66"/>
        <v>21.5</v>
      </c>
      <c r="P99" s="7">
        <f t="shared" si="67"/>
        <v>7.16666666666667</v>
      </c>
      <c r="Q99" s="7">
        <f t="shared" si="68"/>
        <v>7.16666666666667</v>
      </c>
      <c r="R99" s="7">
        <f t="shared" si="69"/>
        <v>7.16666666666667</v>
      </c>
      <c r="S99" s="7">
        <v>0</v>
      </c>
      <c r="T99" s="7">
        <v>0</v>
      </c>
      <c r="U99" s="7">
        <f t="shared" si="70"/>
        <v>25.8</v>
      </c>
      <c r="V99" s="4">
        <v>1.2</v>
      </c>
      <c r="W99" s="7">
        <f t="shared" si="71"/>
        <v>43</v>
      </c>
      <c r="X99" s="4">
        <f t="shared" si="61"/>
        <v>3623.16655349159</v>
      </c>
      <c r="Y99" s="4">
        <f t="shared" si="6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63"/>
        <v>22575</v>
      </c>
      <c r="AE99" s="4">
        <f t="shared" si="64"/>
        <v>1355</v>
      </c>
      <c r="AF99" s="4">
        <f t="shared" si="65"/>
        <v>948</v>
      </c>
      <c r="AG99" s="4">
        <v>0.7</v>
      </c>
      <c r="AH99" s="4">
        <f t="shared" si="72"/>
        <v>948</v>
      </c>
    </row>
    <row r="100" spans="1:34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 t="shared" si="66"/>
        <v>22.5</v>
      </c>
      <c r="P100" s="7">
        <f t="shared" si="67"/>
        <v>7.5</v>
      </c>
      <c r="Q100" s="7">
        <f t="shared" si="68"/>
        <v>7.5</v>
      </c>
      <c r="R100" s="7">
        <f t="shared" si="69"/>
        <v>7.5</v>
      </c>
      <c r="S100" s="7">
        <v>0</v>
      </c>
      <c r="T100" s="7">
        <v>0</v>
      </c>
      <c r="U100" s="7">
        <f t="shared" si="70"/>
        <v>27</v>
      </c>
      <c r="V100" s="4">
        <v>1.2</v>
      </c>
      <c r="W100" s="7">
        <f t="shared" si="71"/>
        <v>45</v>
      </c>
      <c r="X100" s="4">
        <f t="shared" si="61"/>
        <v>4040.86217878537</v>
      </c>
      <c r="Y100" s="4">
        <f t="shared" si="6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63"/>
        <v>23625</v>
      </c>
      <c r="AE100" s="4">
        <f t="shared" si="64"/>
        <v>1418</v>
      </c>
      <c r="AF100" s="4">
        <f t="shared" si="65"/>
        <v>992</v>
      </c>
      <c r="AG100" s="4">
        <v>0.7</v>
      </c>
      <c r="AH100" s="4">
        <f t="shared" si="72"/>
        <v>992</v>
      </c>
    </row>
    <row r="101" spans="1:34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si="66"/>
        <v>24</v>
      </c>
      <c r="P101" s="7">
        <f t="shared" si="67"/>
        <v>8</v>
      </c>
      <c r="Q101" s="7">
        <f t="shared" si="68"/>
        <v>8</v>
      </c>
      <c r="R101" s="7">
        <f t="shared" si="69"/>
        <v>8</v>
      </c>
      <c r="S101" s="7">
        <v>0</v>
      </c>
      <c r="T101" s="7">
        <v>0</v>
      </c>
      <c r="U101" s="7">
        <f t="shared" si="70"/>
        <v>28.8</v>
      </c>
      <c r="V101" s="4">
        <v>1.2</v>
      </c>
      <c r="W101" s="7">
        <f t="shared" si="71"/>
        <v>48</v>
      </c>
      <c r="X101" s="4">
        <f t="shared" si="61"/>
        <v>4717.83746552652</v>
      </c>
      <c r="Y101" s="4">
        <f t="shared" si="6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63"/>
        <v>25200</v>
      </c>
      <c r="AE101" s="4">
        <f t="shared" si="64"/>
        <v>1512</v>
      </c>
      <c r="AF101" s="4">
        <f t="shared" si="65"/>
        <v>1134</v>
      </c>
      <c r="AG101" s="4">
        <v>0.75</v>
      </c>
      <c r="AH101" s="4">
        <f t="shared" si="72"/>
        <v>1134</v>
      </c>
    </row>
    <row r="102" spans="1:34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66"/>
        <v>25</v>
      </c>
      <c r="P102" s="7">
        <f t="shared" si="67"/>
        <v>8.33333333333333</v>
      </c>
      <c r="Q102" s="7">
        <f t="shared" si="68"/>
        <v>8.33333333333333</v>
      </c>
      <c r="R102" s="7">
        <f t="shared" si="69"/>
        <v>8.33333333333333</v>
      </c>
      <c r="S102" s="7">
        <v>0</v>
      </c>
      <c r="T102" s="7">
        <v>0</v>
      </c>
      <c r="U102" s="7">
        <f t="shared" si="70"/>
        <v>30</v>
      </c>
      <c r="V102" s="4">
        <v>1.2</v>
      </c>
      <c r="W102" s="7">
        <f t="shared" si="71"/>
        <v>50</v>
      </c>
      <c r="X102" s="4">
        <f t="shared" si="61"/>
        <v>5203.45754626171</v>
      </c>
      <c r="Y102" s="4">
        <f t="shared" si="6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63"/>
        <v>26250</v>
      </c>
      <c r="AE102" s="4">
        <f t="shared" si="64"/>
        <v>1575</v>
      </c>
      <c r="AF102" s="4">
        <f t="shared" si="65"/>
        <v>1181</v>
      </c>
      <c r="AG102" s="4">
        <v>0.75</v>
      </c>
      <c r="AH102" s="4">
        <f t="shared" si="72"/>
        <v>1181</v>
      </c>
    </row>
    <row r="103" spans="1:34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66"/>
        <v>26</v>
      </c>
      <c r="P103" s="7">
        <f t="shared" si="67"/>
        <v>8.66666666666667</v>
      </c>
      <c r="Q103" s="7">
        <f t="shared" si="68"/>
        <v>8.66666666666667</v>
      </c>
      <c r="R103" s="7">
        <f t="shared" si="69"/>
        <v>8.66666666666667</v>
      </c>
      <c r="S103" s="7">
        <v>0</v>
      </c>
      <c r="T103" s="7">
        <v>0</v>
      </c>
      <c r="U103" s="7">
        <f t="shared" si="70"/>
        <v>31.2</v>
      </c>
      <c r="V103" s="4">
        <v>1.3</v>
      </c>
      <c r="W103" s="7">
        <f t="shared" si="71"/>
        <v>52</v>
      </c>
      <c r="X103" s="4">
        <f t="shared" si="61"/>
        <v>11756.2739890575</v>
      </c>
      <c r="Y103" s="4">
        <f t="shared" si="6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63"/>
        <v>27300</v>
      </c>
      <c r="AE103" s="4">
        <f t="shared" si="64"/>
        <v>887</v>
      </c>
      <c r="AF103" s="4">
        <f t="shared" si="65"/>
        <v>710</v>
      </c>
      <c r="AG103" s="4">
        <v>0.8</v>
      </c>
      <c r="AH103" s="4">
        <f t="shared" si="72"/>
        <v>710</v>
      </c>
    </row>
    <row r="104" spans="1:34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4</v>
      </c>
      <c r="O104" s="4">
        <f t="shared" si="66"/>
        <v>27</v>
      </c>
      <c r="P104" s="7">
        <f t="shared" si="67"/>
        <v>9</v>
      </c>
      <c r="Q104" s="7">
        <f t="shared" si="68"/>
        <v>9</v>
      </c>
      <c r="R104" s="7">
        <f t="shared" si="69"/>
        <v>9</v>
      </c>
      <c r="S104" s="7">
        <v>0</v>
      </c>
      <c r="T104" s="7">
        <v>0</v>
      </c>
      <c r="U104" s="7">
        <f t="shared" si="70"/>
        <v>32.4</v>
      </c>
      <c r="V104" s="4">
        <v>1.3</v>
      </c>
      <c r="W104" s="7">
        <f t="shared" si="71"/>
        <v>54</v>
      </c>
      <c r="X104" s="4">
        <f t="shared" si="61"/>
        <v>12968.3517348442</v>
      </c>
      <c r="Y104" s="4">
        <f t="shared" si="6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63"/>
        <v>28350</v>
      </c>
      <c r="AE104" s="4">
        <f t="shared" si="64"/>
        <v>1843</v>
      </c>
      <c r="AF104" s="4">
        <f t="shared" si="65"/>
        <v>1474</v>
      </c>
      <c r="AG104" s="4">
        <v>0.8</v>
      </c>
      <c r="AH104" s="4">
        <f t="shared" si="72"/>
        <v>1474</v>
      </c>
    </row>
    <row r="105" spans="1:34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4</v>
      </c>
      <c r="O105" s="4">
        <f t="shared" si="66"/>
        <v>28.5</v>
      </c>
      <c r="P105" s="7">
        <f t="shared" si="67"/>
        <v>9.5</v>
      </c>
      <c r="Q105" s="7">
        <f t="shared" si="68"/>
        <v>9.5</v>
      </c>
      <c r="R105" s="7">
        <f t="shared" si="69"/>
        <v>9.5</v>
      </c>
      <c r="S105" s="7">
        <v>0</v>
      </c>
      <c r="T105" s="7">
        <v>0</v>
      </c>
      <c r="U105" s="7">
        <f t="shared" si="70"/>
        <v>34.2</v>
      </c>
      <c r="V105" s="4">
        <v>1.3</v>
      </c>
      <c r="W105" s="7">
        <f t="shared" si="71"/>
        <v>57</v>
      </c>
      <c r="X105" s="4">
        <f t="shared" si="61"/>
        <v>14925.7316918978</v>
      </c>
      <c r="Y105" s="4">
        <f t="shared" si="6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63"/>
        <v>29925</v>
      </c>
      <c r="AE105" s="4">
        <f t="shared" si="64"/>
        <v>1945</v>
      </c>
      <c r="AF105" s="4">
        <f t="shared" si="65"/>
        <v>1653</v>
      </c>
      <c r="AG105" s="4">
        <v>0.85</v>
      </c>
      <c r="AH105" s="4">
        <f t="shared" si="72"/>
        <v>1653</v>
      </c>
    </row>
    <row r="106" spans="1:34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4</v>
      </c>
      <c r="O106" s="4">
        <f t="shared" si="66"/>
        <v>29.5</v>
      </c>
      <c r="P106" s="7">
        <f t="shared" si="67"/>
        <v>9.83333333333333</v>
      </c>
      <c r="Q106" s="7">
        <f t="shared" si="68"/>
        <v>9.83333333333333</v>
      </c>
      <c r="R106" s="7">
        <f t="shared" si="69"/>
        <v>9.83333333333333</v>
      </c>
      <c r="S106" s="7">
        <v>0</v>
      </c>
      <c r="T106" s="7">
        <v>0</v>
      </c>
      <c r="U106" s="7">
        <f t="shared" si="70"/>
        <v>35.4</v>
      </c>
      <c r="V106" s="4">
        <v>1.3</v>
      </c>
      <c r="W106" s="7">
        <f t="shared" si="71"/>
        <v>59</v>
      </c>
      <c r="X106" s="4">
        <f t="shared" si="61"/>
        <v>16325.8663137191</v>
      </c>
      <c r="Y106" s="4">
        <f t="shared" si="6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63"/>
        <v>30975</v>
      </c>
      <c r="AE106" s="4">
        <f t="shared" si="64"/>
        <v>2013</v>
      </c>
      <c r="AF106" s="4">
        <f t="shared" si="65"/>
        <v>1711</v>
      </c>
      <c r="AG106" s="4">
        <v>0.85</v>
      </c>
      <c r="AH106" s="4">
        <f t="shared" si="72"/>
        <v>1711</v>
      </c>
    </row>
    <row r="107" spans="1:34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4</v>
      </c>
      <c r="O107" s="4">
        <f t="shared" si="66"/>
        <v>30.5</v>
      </c>
      <c r="P107" s="7">
        <f t="shared" si="67"/>
        <v>10.1666666666667</v>
      </c>
      <c r="Q107" s="7">
        <f t="shared" si="68"/>
        <v>10.1666666666667</v>
      </c>
      <c r="R107" s="7">
        <f t="shared" si="69"/>
        <v>10.1666666666667</v>
      </c>
      <c r="S107" s="7">
        <v>0</v>
      </c>
      <c r="T107" s="7">
        <v>0</v>
      </c>
      <c r="U107" s="7">
        <f t="shared" si="70"/>
        <v>36.6</v>
      </c>
      <c r="V107" s="4">
        <v>1.3</v>
      </c>
      <c r="W107" s="7">
        <f t="shared" si="71"/>
        <v>61</v>
      </c>
      <c r="X107" s="4">
        <f t="shared" si="61"/>
        <v>17804.0406285418</v>
      </c>
      <c r="Y107" s="4">
        <f t="shared" si="6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63"/>
        <v>32025</v>
      </c>
      <c r="AE107" s="4">
        <f t="shared" si="64"/>
        <v>2082</v>
      </c>
      <c r="AF107" s="4">
        <f t="shared" si="65"/>
        <v>1873</v>
      </c>
      <c r="AG107" s="4">
        <v>0.9</v>
      </c>
      <c r="AH107" s="4">
        <f t="shared" si="72"/>
        <v>1873</v>
      </c>
    </row>
    <row r="108" spans="1:34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4</v>
      </c>
      <c r="O108" s="4">
        <f t="shared" si="66"/>
        <v>31.5</v>
      </c>
      <c r="P108" s="7">
        <f t="shared" si="67"/>
        <v>10.5</v>
      </c>
      <c r="Q108" s="7">
        <f t="shared" si="68"/>
        <v>10.5</v>
      </c>
      <c r="R108" s="7">
        <f t="shared" si="69"/>
        <v>10.5</v>
      </c>
      <c r="S108" s="7">
        <v>0</v>
      </c>
      <c r="T108" s="7">
        <v>0</v>
      </c>
      <c r="U108" s="7">
        <f t="shared" si="70"/>
        <v>37.8</v>
      </c>
      <c r="V108" s="4">
        <v>1.4</v>
      </c>
      <c r="W108" s="7">
        <f t="shared" si="71"/>
        <v>63</v>
      </c>
      <c r="X108" s="4">
        <f t="shared" si="61"/>
        <v>41372.4790332195</v>
      </c>
      <c r="Y108" s="4">
        <f t="shared" si="6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63"/>
        <v>33075</v>
      </c>
      <c r="AE108" s="4">
        <f t="shared" si="64"/>
        <v>1158</v>
      </c>
      <c r="AF108" s="4">
        <f t="shared" si="65"/>
        <v>1158</v>
      </c>
      <c r="AG108" s="4">
        <v>1</v>
      </c>
      <c r="AH108" s="4">
        <f t="shared" si="72"/>
        <v>1158</v>
      </c>
    </row>
    <row r="109" spans="15:16">
      <c r="O109" s="4"/>
      <c r="P109" s="4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11"/>
  <sheetViews>
    <sheetView topLeftCell="O74" workbookViewId="0">
      <selection activeCell="O108" sqref="$A108:$XFD108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0" width="12.8888888888889"/>
    <col min="21" max="21" width="14.0277777777778" customWidth="1"/>
    <col min="24" max="24" width="12.8888888888889"/>
    <col min="29" max="29" width="8.88888888888889" style="7"/>
    <col min="30" max="30" width="12.8888888888889"/>
    <col min="35" max="35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601</v>
      </c>
      <c r="Y1" s="7">
        <v>3</v>
      </c>
      <c r="Z1" s="4">
        <v>602</v>
      </c>
      <c r="AA1" s="7">
        <v>603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21" si="0">ROUNDDOWN((B2-M2)/$X$6,0)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601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>
        <v>0</v>
      </c>
      <c r="N2" s="7">
        <f>IF(A2&lt;5,$X$1,IF(A2&gt;10,$AA$1,$Z$1))</f>
        <v>601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21" si="7">SUM(J2,L2)+15</f>
        <v>25</v>
      </c>
      <c r="V2" s="7">
        <v>2</v>
      </c>
      <c r="W2" s="4" t="s">
        <v>577</v>
      </c>
      <c r="X2" s="8">
        <v>605</v>
      </c>
      <c r="Y2" s="4">
        <v>5</v>
      </c>
      <c r="AA2" s="7"/>
      <c r="AB2" s="4">
        <v>70</v>
      </c>
      <c r="AC2" s="7">
        <v>50</v>
      </c>
    </row>
    <row r="3" spans="1:27">
      <c r="A3" s="7">
        <v>2</v>
      </c>
      <c r="B3" s="7">
        <f>B2+$AB$2</f>
        <v>170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601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>
        <v>0</v>
      </c>
      <c r="N3" s="7">
        <f>IF(A3&lt;5,$X$1,IF(A3&gt;10,$AA$1,$Z$1))</f>
        <v>601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606</v>
      </c>
      <c r="Y3" s="7">
        <v>10</v>
      </c>
      <c r="AA3" s="7"/>
    </row>
    <row r="4" spans="1:27">
      <c r="A4" s="7">
        <v>3</v>
      </c>
      <c r="B4" s="7">
        <f>B3+$AB$2</f>
        <v>240</v>
      </c>
      <c r="C4" s="7">
        <f t="shared" si="0"/>
        <v>6</v>
      </c>
      <c r="D4" s="7">
        <v>1</v>
      </c>
      <c r="E4" s="7">
        <f t="shared" si="1"/>
        <v>1.5</v>
      </c>
      <c r="F4" s="7">
        <f t="shared" si="2"/>
        <v>5</v>
      </c>
      <c r="G4" s="7">
        <f t="shared" si="3"/>
        <v>3.75</v>
      </c>
      <c r="H4" s="7">
        <v>1</v>
      </c>
      <c r="I4" s="7">
        <f>IF(A4&lt;5,$X$1,IF(A4&gt;10,$AA$1,$Z$1))</f>
        <v>601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>
        <v>0</v>
      </c>
      <c r="N4" s="7">
        <f>IF(A4&lt;5,$X$1,IF(A4&gt;10,$AA$1,$Z$1))</f>
        <v>601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f>B4+$AB$2</f>
        <v>310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>IF(A5&lt;5,$X$1,IF(A5&gt;10,$AA$1,$Z$1))</f>
        <v>601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>
        <v>0</v>
      </c>
      <c r="N5" s="7">
        <f>IF(A5&lt;5,$X$1,IF(A5&gt;10,$AA$1,$Z$1))</f>
        <v>601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</f>
        <v>380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>IF(A6&lt;5,$X$1,IF(A6&gt;10,$AA$1,$Z$1))</f>
        <v>602</v>
      </c>
      <c r="J6" s="7">
        <v>5</v>
      </c>
      <c r="K6" s="7">
        <f>IF(H6=1,"",INDEX($X$1:$X$3,MATCH(H6,$V$1:$V$3,0)))</f>
        <v>605</v>
      </c>
      <c r="L6" s="7">
        <f t="shared" si="4"/>
        <v>5</v>
      </c>
      <c r="M6" s="7">
        <v>0</v>
      </c>
      <c r="N6" s="7">
        <f>IF(A6&lt;5,$X$1,IF(A6&gt;10,$AA$1,$Z$1))</f>
        <v>602</v>
      </c>
      <c r="O6" s="7">
        <v>5</v>
      </c>
      <c r="P6" s="7">
        <f>IF(H6=1,"",INDEX($X$1:$X$3,MATCH(H6,$V$1:$V$3,0)))</f>
        <v>605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f>B6+$AB$2</f>
        <v>450</v>
      </c>
      <c r="C7" s="7">
        <f t="shared" si="0"/>
        <v>11</v>
      </c>
      <c r="D7" s="7">
        <v>2</v>
      </c>
      <c r="E7" s="7">
        <f t="shared" si="1"/>
        <v>2.25</v>
      </c>
      <c r="F7" s="7">
        <f t="shared" si="2"/>
        <v>9</v>
      </c>
      <c r="G7" s="7">
        <f t="shared" si="3"/>
        <v>10.125</v>
      </c>
      <c r="H7" s="7">
        <v>1</v>
      </c>
      <c r="I7" s="7">
        <f>IF(A7&lt;5,$X$1,IF(A7&gt;10,$AA$1,$Z$1))</f>
        <v>602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>
        <v>0</v>
      </c>
      <c r="N7" s="7">
        <f>IF(A7&lt;5,$X$1,IF(A7&gt;10,$AA$1,$Z$1))</f>
        <v>602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f>B7+$AB$2</f>
        <v>520</v>
      </c>
      <c r="C8" s="7">
        <f t="shared" si="0"/>
        <v>13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602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>
        <v>0</v>
      </c>
      <c r="N8" s="7">
        <f>IF(A8&lt;5,$X$1,IF(A8&gt;10,$AA$1,$Z$1))</f>
        <v>602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f>B8+$AB$2</f>
        <v>590</v>
      </c>
      <c r="C9" s="7">
        <f t="shared" si="0"/>
        <v>14</v>
      </c>
      <c r="D9" s="7">
        <v>3</v>
      </c>
      <c r="E9" s="7">
        <f t="shared" si="1"/>
        <v>3</v>
      </c>
      <c r="F9" s="7">
        <f t="shared" si="2"/>
        <v>11</v>
      </c>
      <c r="G9" s="7">
        <f t="shared" si="3"/>
        <v>16.5</v>
      </c>
      <c r="H9" s="7">
        <v>1</v>
      </c>
      <c r="I9" s="7">
        <f>IF(A9&lt;5,$X$1,IF(A9&gt;10,$AA$1,$Z$1))</f>
        <v>602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>
        <v>0</v>
      </c>
      <c r="N9" s="7">
        <f>IF(A9&lt;5,$X$1,IF(A9&gt;10,$AA$1,$Z$1))</f>
        <v>602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f>B9+$AB$2</f>
        <v>660</v>
      </c>
      <c r="C10" s="7">
        <f t="shared" si="0"/>
        <v>16</v>
      </c>
      <c r="D10" s="7">
        <v>4</v>
      </c>
      <c r="E10" s="7">
        <f t="shared" si="1"/>
        <v>3.75</v>
      </c>
      <c r="F10" s="7">
        <f t="shared" si="2"/>
        <v>13</v>
      </c>
      <c r="G10" s="7">
        <f t="shared" si="3"/>
        <v>24.375</v>
      </c>
      <c r="H10" s="7">
        <v>1</v>
      </c>
      <c r="I10" s="7">
        <f>IF(A10&lt;5,$X$1,IF(A10&gt;10,$AA$1,$Z$1))</f>
        <v>602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>
        <v>0</v>
      </c>
      <c r="N10" s="7">
        <f>IF(A10&lt;5,$X$1,IF(A10&gt;10,$AA$1,$Z$1))</f>
        <v>602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f>B10+$AB$2+20</f>
        <v>750</v>
      </c>
      <c r="C11" s="7">
        <f t="shared" si="0"/>
        <v>18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>IF(A11&lt;5,$X$1,IF(A11&gt;10,$AA$1,$Z$1))</f>
        <v>602</v>
      </c>
      <c r="J11" s="7">
        <v>10</v>
      </c>
      <c r="K11" s="7">
        <f>IF(H11=1,"",INDEX($X$1:$X$3,MATCH(H11,$V$1:$V$3,0)))</f>
        <v>606</v>
      </c>
      <c r="L11" s="7">
        <f t="shared" si="4"/>
        <v>1</v>
      </c>
      <c r="M11" s="7">
        <v>0</v>
      </c>
      <c r="N11" s="7">
        <f>IF(A11&lt;5,$X$1,IF(A11&gt;10,$AA$1,$Z$1))</f>
        <v>602</v>
      </c>
      <c r="O11" s="7">
        <v>10</v>
      </c>
      <c r="P11" s="7">
        <f>IF(H11=1,"",INDEX($X$1:$X$3,MATCH(H11,$V$1:$V$3,0)))</f>
        <v>606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f t="shared" ref="B12:B31" si="10">B11+$AB$2+20</f>
        <v>840</v>
      </c>
      <c r="C12" s="7">
        <f t="shared" si="0"/>
        <v>21</v>
      </c>
      <c r="D12" s="7">
        <v>5</v>
      </c>
      <c r="E12" s="7"/>
      <c r="F12" s="7">
        <f t="shared" si="2"/>
        <v>17</v>
      </c>
      <c r="G12" s="7">
        <f t="shared" ref="G12:G14" si="11">($G$15-$G$11)/4+G11</f>
        <v>42.45</v>
      </c>
      <c r="H12" s="7">
        <v>1</v>
      </c>
      <c r="I12" s="7">
        <f>IF(A12&lt;5,$X$1,IF(A12&gt;10,$AA$1,$Z$1))</f>
        <v>603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>
        <v>0</v>
      </c>
      <c r="N12" s="7">
        <f>IF(A12&lt;5,$X$1,IF(A12&gt;10,$AA$1,$Z$1))</f>
        <v>603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 t="shared" si="10"/>
        <v>930</v>
      </c>
      <c r="C13" s="7">
        <f t="shared" si="0"/>
        <v>23</v>
      </c>
      <c r="D13" s="7">
        <v>8</v>
      </c>
      <c r="E13" s="7"/>
      <c r="F13" s="7">
        <f t="shared" si="2"/>
        <v>18</v>
      </c>
      <c r="G13" s="7">
        <f t="shared" si="11"/>
        <v>49.9</v>
      </c>
      <c r="H13" s="7">
        <v>1</v>
      </c>
      <c r="I13" s="7">
        <f>IF(A13&lt;5,$X$1,IF(A13&gt;10,$AA$1,$Z$1))</f>
        <v>603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>
        <v>0</v>
      </c>
      <c r="N13" s="7">
        <f>IF(A13&lt;5,$X$1,IF(A13&gt;10,$AA$1,$Z$1))</f>
        <v>603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 t="shared" si="10"/>
        <v>1020</v>
      </c>
      <c r="C14" s="7">
        <f t="shared" si="0"/>
        <v>25</v>
      </c>
      <c r="D14" s="7">
        <v>9</v>
      </c>
      <c r="E14" s="7"/>
      <c r="F14" s="7">
        <f t="shared" si="2"/>
        <v>20</v>
      </c>
      <c r="G14" s="7">
        <f t="shared" si="11"/>
        <v>57.35</v>
      </c>
      <c r="H14" s="7">
        <v>1</v>
      </c>
      <c r="I14" s="7">
        <f>IF(A14&lt;5,$X$1,IF(A14&gt;10,$AA$1,$Z$1))</f>
        <v>603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>
        <v>0</v>
      </c>
      <c r="N14" s="7">
        <f>IF(A14&lt;5,$X$1,IF(A14&gt;10,$AA$1,$Z$1))</f>
        <v>603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f t="shared" si="10"/>
        <v>1110</v>
      </c>
      <c r="C15" s="7">
        <f t="shared" si="0"/>
        <v>27</v>
      </c>
      <c r="D15" s="7">
        <v>10</v>
      </c>
      <c r="E15" s="7"/>
      <c r="F15" s="7">
        <f t="shared" si="2"/>
        <v>22</v>
      </c>
      <c r="G15" s="7">
        <f>G31*0.2</f>
        <v>64.8</v>
      </c>
      <c r="H15" s="7">
        <v>1</v>
      </c>
      <c r="I15" s="7">
        <f>IF(A15&lt;5,$X$1,IF(A15&gt;10,$AA$1,$Z$1))</f>
        <v>603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>
        <v>0</v>
      </c>
      <c r="N15" s="7">
        <f>IF(A15&lt;5,$X$1,IF(A15&gt;10,$AA$1,$Z$1))</f>
        <v>603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f t="shared" si="10"/>
        <v>1200</v>
      </c>
      <c r="C16" s="7">
        <f t="shared" si="0"/>
        <v>30</v>
      </c>
      <c r="D16" s="7">
        <v>11</v>
      </c>
      <c r="E16" s="7"/>
      <c r="F16" s="7">
        <f t="shared" si="2"/>
        <v>24</v>
      </c>
      <c r="G16" s="7">
        <f t="shared" ref="G16:G19" si="12">($G$20-$G$15)/5+G15</f>
        <v>77.76</v>
      </c>
      <c r="H16" s="7">
        <v>2</v>
      </c>
      <c r="I16" s="7">
        <f>IF(A16&lt;5,$X$1,IF(A16&gt;10,$AA$1,$Z$1))</f>
        <v>603</v>
      </c>
      <c r="J16" s="7">
        <v>10</v>
      </c>
      <c r="K16" s="7">
        <f>IF(H16=1,"",INDEX($X$1:$X$3,MATCH(H16,$V$1:$V$3,0)))</f>
        <v>605</v>
      </c>
      <c r="L16" s="7">
        <f t="shared" si="4"/>
        <v>5</v>
      </c>
      <c r="M16" s="7">
        <v>0</v>
      </c>
      <c r="N16" s="7">
        <f>IF(A16&lt;5,$X$1,IF(A16&gt;10,$AA$1,$Z$1))</f>
        <v>603</v>
      </c>
      <c r="O16" s="7">
        <v>10</v>
      </c>
      <c r="P16" s="7">
        <f>IF(H16=1,"",INDEX($X$1:$X$3,MATCH(H16,$V$1:$V$3,0)))</f>
        <v>605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f t="shared" si="10"/>
        <v>1290</v>
      </c>
      <c r="C17" s="7">
        <f t="shared" si="0"/>
        <v>32</v>
      </c>
      <c r="D17" s="7">
        <v>12</v>
      </c>
      <c r="E17" s="7"/>
      <c r="F17" s="7">
        <f t="shared" si="2"/>
        <v>26</v>
      </c>
      <c r="G17" s="7">
        <f t="shared" si="12"/>
        <v>90.72</v>
      </c>
      <c r="H17" s="7">
        <v>1</v>
      </c>
      <c r="I17" s="7">
        <f>IF(A17&lt;5,$X$1,IF(A17&gt;10,$AA$1,$Z$1))</f>
        <v>603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>
        <v>0</v>
      </c>
      <c r="N17" s="7">
        <f>IF(A17&lt;5,$X$1,IF(A17&gt;10,$AA$1,$Z$1))</f>
        <v>603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f t="shared" si="10"/>
        <v>1380</v>
      </c>
      <c r="C18" s="7">
        <f t="shared" si="0"/>
        <v>34</v>
      </c>
      <c r="D18" s="7">
        <v>13</v>
      </c>
      <c r="E18" s="7"/>
      <c r="F18" s="7">
        <f t="shared" si="2"/>
        <v>27</v>
      </c>
      <c r="G18" s="7">
        <f t="shared" si="12"/>
        <v>103.68</v>
      </c>
      <c r="H18" s="7">
        <v>1</v>
      </c>
      <c r="I18" s="7">
        <f>IF(A18&lt;5,$X$1,IF(A18&gt;10,$AA$1,$Z$1))</f>
        <v>603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>
        <v>0</v>
      </c>
      <c r="N18" s="7">
        <f>IF(A18&lt;5,$X$1,IF(A18&gt;10,$AA$1,$Z$1))</f>
        <v>603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f t="shared" si="10"/>
        <v>1470</v>
      </c>
      <c r="C19" s="7">
        <f t="shared" si="0"/>
        <v>36</v>
      </c>
      <c r="D19" s="7">
        <v>14</v>
      </c>
      <c r="E19" s="7"/>
      <c r="F19" s="7">
        <f t="shared" si="2"/>
        <v>29</v>
      </c>
      <c r="G19" s="7">
        <f t="shared" si="12"/>
        <v>116.64</v>
      </c>
      <c r="H19" s="7">
        <v>1</v>
      </c>
      <c r="I19" s="7">
        <f>IF(A19&lt;5,$X$1,IF(A19&gt;10,$AA$1,$Z$1))</f>
        <v>603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>
        <v>0</v>
      </c>
      <c r="N19" s="7">
        <f>IF(A19&lt;5,$X$1,IF(A19&gt;10,$AA$1,$Z$1))</f>
        <v>603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f t="shared" si="10"/>
        <v>1560</v>
      </c>
      <c r="C20" s="7">
        <f t="shared" si="0"/>
        <v>39</v>
      </c>
      <c r="D20" s="7">
        <v>15</v>
      </c>
      <c r="E20" s="7"/>
      <c r="F20" s="7">
        <f t="shared" si="2"/>
        <v>31</v>
      </c>
      <c r="G20" s="7">
        <f>G31*0.4</f>
        <v>129.6</v>
      </c>
      <c r="H20" s="7">
        <v>1</v>
      </c>
      <c r="I20" s="7">
        <f>IF(A20&lt;5,$X$1,IF(A20&gt;10,$AA$1,$Z$1))</f>
        <v>603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>
        <v>0</v>
      </c>
      <c r="N20" s="7">
        <f>IF(A20&lt;5,$X$1,IF(A20&gt;10,$AA$1,$Z$1))</f>
        <v>603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f t="shared" si="10"/>
        <v>1650</v>
      </c>
      <c r="C21" s="7">
        <f t="shared" si="0"/>
        <v>41</v>
      </c>
      <c r="D21" s="7">
        <v>16</v>
      </c>
      <c r="E21" s="7"/>
      <c r="F21" s="7">
        <f t="shared" si="2"/>
        <v>33</v>
      </c>
      <c r="G21" s="7">
        <f t="shared" ref="G21:G24" si="13">($G$25-$G$20)/5+G20</f>
        <v>142.56</v>
      </c>
      <c r="H21" s="7">
        <v>3</v>
      </c>
      <c r="I21" s="7">
        <f>IF(A21&lt;5,$X$1,IF(A21&gt;10,$AA$1,$Z$1))</f>
        <v>603</v>
      </c>
      <c r="J21" s="7">
        <v>15</v>
      </c>
      <c r="K21" s="7">
        <f>IF(H21=1,"",INDEX($X$1:$X$3,MATCH(H21,$V$1:$V$3,0)))</f>
        <v>606</v>
      </c>
      <c r="L21" s="7">
        <f t="shared" si="4"/>
        <v>1</v>
      </c>
      <c r="M21" s="7">
        <v>0</v>
      </c>
      <c r="N21" s="7">
        <f>IF(A21&lt;5,$X$1,IF(A21&gt;10,$AA$1,$Z$1))</f>
        <v>603</v>
      </c>
      <c r="O21" s="7">
        <v>15</v>
      </c>
      <c r="P21" s="7">
        <f>IF(H21=1,"",INDEX($X$1:$X$3,MATCH(H21,$V$1:$V$3,0)))</f>
        <v>606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>
        <f t="shared" si="10"/>
        <v>1740</v>
      </c>
      <c r="C22" s="7">
        <f t="shared" ref="C22:C33" si="14">ROUNDDOWN(B22/$X$6,0)</f>
        <v>43</v>
      </c>
      <c r="D22" s="7">
        <v>17</v>
      </c>
      <c r="E22" s="7"/>
      <c r="F22" s="7">
        <f t="shared" si="2"/>
        <v>34</v>
      </c>
      <c r="G22" s="7">
        <f t="shared" si="13"/>
        <v>155.52</v>
      </c>
      <c r="H22" s="7">
        <v>1</v>
      </c>
      <c r="I22" s="7">
        <f>IF(A22&lt;5,$X$1,IF(A22&gt;10,$AA$1,$Z$1))</f>
        <v>603</v>
      </c>
      <c r="J22" s="7">
        <v>20</v>
      </c>
      <c r="K22" s="7" t="str">
        <f>IF(H22=1,"",INDEX($X$1:$X$3,MATCH(H22,$V$1:$V$3,0)))</f>
        <v/>
      </c>
      <c r="L22" s="7" t="str">
        <f t="shared" si="4"/>
        <v/>
      </c>
      <c r="M22" s="7">
        <v>0</v>
      </c>
      <c r="N22" s="7">
        <f>IF(A22&lt;5,$X$1,IF(A22&gt;10,$AA$1,$Z$1))</f>
        <v>603</v>
      </c>
      <c r="O22" s="7">
        <v>20</v>
      </c>
      <c r="P22" s="7" t="str">
        <f>IF(H22=1,"",INDEX($X$1:$X$3,MATCH(H22,$V$1:$V$3,0)))</f>
        <v/>
      </c>
      <c r="Q22" s="7" t="str">
        <f t="shared" si="5"/>
        <v/>
      </c>
      <c r="R22" s="7"/>
      <c r="S22" s="7">
        <f t="shared" si="6"/>
        <v>40</v>
      </c>
      <c r="T22" s="7"/>
      <c r="U22" s="7"/>
      <c r="V22" s="7"/>
      <c r="Y22" s="4"/>
      <c r="AA22" s="7"/>
    </row>
    <row r="23" spans="1:27">
      <c r="A23" s="7">
        <v>22</v>
      </c>
      <c r="B23" s="7">
        <f t="shared" si="10"/>
        <v>1830</v>
      </c>
      <c r="C23" s="7">
        <f t="shared" si="14"/>
        <v>45</v>
      </c>
      <c r="D23" s="7">
        <v>20</v>
      </c>
      <c r="E23" s="7"/>
      <c r="F23" s="7">
        <f t="shared" si="2"/>
        <v>36</v>
      </c>
      <c r="G23" s="7">
        <f t="shared" si="13"/>
        <v>168.48</v>
      </c>
      <c r="H23" s="7">
        <v>1</v>
      </c>
      <c r="I23" s="7">
        <f>IF(A23&lt;5,$X$1,IF(A23&gt;10,$AA$1,$Z$1))</f>
        <v>603</v>
      </c>
      <c r="J23" s="7">
        <v>20</v>
      </c>
      <c r="K23" s="7" t="str">
        <f>IF(H23=1,"",INDEX($X$1:$X$3,MATCH(H23,$V$1:$V$3,0)))</f>
        <v/>
      </c>
      <c r="L23" s="7" t="str">
        <f t="shared" si="4"/>
        <v/>
      </c>
      <c r="M23" s="7">
        <v>0</v>
      </c>
      <c r="N23" s="7">
        <f>IF(A23&lt;5,$X$1,IF(A23&gt;10,$AA$1,$Z$1))</f>
        <v>603</v>
      </c>
      <c r="O23" s="7">
        <v>20</v>
      </c>
      <c r="P23" s="7" t="str">
        <f>IF(H23=1,"",INDEX($X$1:$X$3,MATCH(H23,$V$1:$V$3,0)))</f>
        <v/>
      </c>
      <c r="Q23" s="7" t="str">
        <f t="shared" si="5"/>
        <v/>
      </c>
      <c r="R23" s="7"/>
      <c r="S23" s="7">
        <f t="shared" si="6"/>
        <v>40</v>
      </c>
      <c r="T23" s="7"/>
      <c r="U23" s="7"/>
      <c r="V23" s="7"/>
      <c r="Y23" s="4"/>
      <c r="AA23" s="7"/>
    </row>
    <row r="24" spans="1:27">
      <c r="A24" s="7">
        <v>23</v>
      </c>
      <c r="B24" s="7">
        <f t="shared" si="10"/>
        <v>1920</v>
      </c>
      <c r="C24" s="7">
        <f t="shared" si="14"/>
        <v>48</v>
      </c>
      <c r="D24" s="7">
        <v>21</v>
      </c>
      <c r="E24" s="7"/>
      <c r="F24" s="7">
        <f t="shared" si="2"/>
        <v>38</v>
      </c>
      <c r="G24" s="7">
        <f t="shared" si="13"/>
        <v>181.44</v>
      </c>
      <c r="H24" s="7">
        <v>1</v>
      </c>
      <c r="I24" s="7">
        <f>IF(A24&lt;5,$X$1,IF(A24&gt;10,$AA$1,$Z$1))</f>
        <v>603</v>
      </c>
      <c r="J24" s="7">
        <v>20</v>
      </c>
      <c r="K24" s="7" t="str">
        <f>IF(H24=1,"",INDEX($X$1:$X$3,MATCH(H24,$V$1:$V$3,0)))</f>
        <v/>
      </c>
      <c r="L24" s="7" t="str">
        <f t="shared" si="4"/>
        <v/>
      </c>
      <c r="M24" s="7">
        <v>0</v>
      </c>
      <c r="N24" s="7">
        <f>IF(A24&lt;5,$X$1,IF(A24&gt;10,$AA$1,$Z$1))</f>
        <v>603</v>
      </c>
      <c r="O24" s="7">
        <v>20</v>
      </c>
      <c r="P24" s="7" t="str">
        <f>IF(H24=1,"",INDEX($X$1:$X$3,MATCH(H24,$V$1:$V$3,0)))</f>
        <v/>
      </c>
      <c r="Q24" s="7" t="str">
        <f t="shared" si="5"/>
        <v/>
      </c>
      <c r="R24" s="7"/>
      <c r="S24" s="7">
        <f t="shared" si="6"/>
        <v>40</v>
      </c>
      <c r="T24" s="7"/>
      <c r="U24" s="7"/>
      <c r="V24" s="7"/>
      <c r="Y24" s="4"/>
      <c r="AA24" s="7"/>
    </row>
    <row r="25" spans="1:27">
      <c r="A25" s="7">
        <v>24</v>
      </c>
      <c r="B25" s="7">
        <f t="shared" si="10"/>
        <v>2010</v>
      </c>
      <c r="C25" s="7">
        <f t="shared" si="14"/>
        <v>50</v>
      </c>
      <c r="D25" s="7">
        <v>22</v>
      </c>
      <c r="E25" s="7"/>
      <c r="F25" s="7">
        <f t="shared" si="2"/>
        <v>40</v>
      </c>
      <c r="G25" s="7">
        <f>G31*0.6</f>
        <v>194.4</v>
      </c>
      <c r="H25" s="7">
        <v>1</v>
      </c>
      <c r="I25" s="7">
        <f>IF(A25&lt;5,$X$1,IF(A25&gt;10,$AA$1,$Z$1))</f>
        <v>603</v>
      </c>
      <c r="J25" s="7">
        <v>20</v>
      </c>
      <c r="K25" s="7" t="str">
        <f>IF(H25=1,"",INDEX($X$1:$X$3,MATCH(H25,$V$1:$V$3,0)))</f>
        <v/>
      </c>
      <c r="L25" s="7" t="str">
        <f t="shared" si="4"/>
        <v/>
      </c>
      <c r="M25" s="7">
        <v>0</v>
      </c>
      <c r="N25" s="7">
        <f>IF(A25&lt;5,$X$1,IF(A25&gt;10,$AA$1,$Z$1))</f>
        <v>603</v>
      </c>
      <c r="O25" s="7">
        <v>20</v>
      </c>
      <c r="P25" s="7" t="str">
        <f>IF(H25=1,"",INDEX($X$1:$X$3,MATCH(H25,$V$1:$V$3,0)))</f>
        <v/>
      </c>
      <c r="Q25" s="7" t="str">
        <f t="shared" si="5"/>
        <v/>
      </c>
      <c r="R25" s="7"/>
      <c r="S25" s="7">
        <f t="shared" si="6"/>
        <v>40</v>
      </c>
      <c r="T25" s="7"/>
      <c r="U25" s="7"/>
      <c r="V25" s="7"/>
      <c r="Y25" s="4"/>
      <c r="AA25" s="7"/>
    </row>
    <row r="26" spans="1:27">
      <c r="A26" s="7">
        <v>25</v>
      </c>
      <c r="B26" s="7">
        <f t="shared" si="10"/>
        <v>2100</v>
      </c>
      <c r="C26" s="7">
        <f t="shared" si="14"/>
        <v>52</v>
      </c>
      <c r="D26" s="7">
        <v>23</v>
      </c>
      <c r="E26" s="7"/>
      <c r="F26" s="7">
        <f t="shared" si="2"/>
        <v>42</v>
      </c>
      <c r="G26" s="7">
        <f t="shared" ref="G26:G29" si="15">($G$30-$G$25)/5+G25</f>
        <v>210.6</v>
      </c>
      <c r="H26" s="7">
        <v>2</v>
      </c>
      <c r="I26" s="7">
        <f>IF(A26&lt;5,$X$1,IF(A26&gt;10,$AA$1,$Z$1))</f>
        <v>603</v>
      </c>
      <c r="J26" s="7">
        <v>10</v>
      </c>
      <c r="K26" s="7">
        <f>IF(H26=1,"",INDEX($X$1:$X$3,MATCH(H26,$V$1:$V$3,0)))</f>
        <v>605</v>
      </c>
      <c r="L26" s="7">
        <f t="shared" si="4"/>
        <v>5</v>
      </c>
      <c r="M26" s="7">
        <v>0</v>
      </c>
      <c r="N26" s="7">
        <f>IF(A26&lt;5,$X$1,IF(A26&gt;10,$AA$1,$Z$1))</f>
        <v>603</v>
      </c>
      <c r="O26" s="7">
        <v>10</v>
      </c>
      <c r="P26" s="7">
        <f>IF(H26=1,"",INDEX($X$1:$X$3,MATCH(H26,$V$1:$V$3,0)))</f>
        <v>605</v>
      </c>
      <c r="Q26" s="7">
        <f t="shared" si="5"/>
        <v>5</v>
      </c>
      <c r="R26" s="7"/>
      <c r="S26" s="7">
        <f t="shared" si="6"/>
        <v>30</v>
      </c>
      <c r="T26" s="7"/>
      <c r="U26" s="7"/>
      <c r="V26" s="7"/>
      <c r="Y26" s="4"/>
      <c r="AA26" s="7"/>
    </row>
    <row r="27" spans="1:27">
      <c r="A27" s="7">
        <v>26</v>
      </c>
      <c r="B27" s="7">
        <f t="shared" si="10"/>
        <v>2190</v>
      </c>
      <c r="C27" s="7">
        <f t="shared" si="14"/>
        <v>54</v>
      </c>
      <c r="D27" s="7">
        <v>24</v>
      </c>
      <c r="E27" s="7"/>
      <c r="F27" s="7">
        <f t="shared" si="2"/>
        <v>43</v>
      </c>
      <c r="G27" s="7">
        <f t="shared" si="15"/>
        <v>226.8</v>
      </c>
      <c r="H27" s="7">
        <v>1</v>
      </c>
      <c r="I27" s="7">
        <f>IF(A27&lt;5,$X$1,IF(A27&gt;10,$AA$1,$Z$1))</f>
        <v>603</v>
      </c>
      <c r="J27" s="7">
        <v>20</v>
      </c>
      <c r="K27" s="7" t="str">
        <f>IF(H27=1,"",INDEX($X$1:$X$3,MATCH(H27,$V$1:$V$3,0)))</f>
        <v/>
      </c>
      <c r="L27" s="7" t="str">
        <f t="shared" si="4"/>
        <v/>
      </c>
      <c r="M27" s="7">
        <v>0</v>
      </c>
      <c r="N27" s="7">
        <f>IF(A27&lt;5,$X$1,IF(A27&gt;10,$AA$1,$Z$1))</f>
        <v>603</v>
      </c>
      <c r="O27" s="7">
        <v>20</v>
      </c>
      <c r="P27" s="7" t="str">
        <f>IF(H27=1,"",INDEX($X$1:$X$3,MATCH(H27,$V$1:$V$3,0)))</f>
        <v/>
      </c>
      <c r="Q27" s="7" t="str">
        <f t="shared" si="5"/>
        <v/>
      </c>
      <c r="R27" s="7"/>
      <c r="S27" s="7">
        <f t="shared" si="6"/>
        <v>40</v>
      </c>
      <c r="T27" s="7"/>
      <c r="U27" s="7"/>
      <c r="V27" s="7"/>
      <c r="Y27" s="4"/>
      <c r="AA27" s="7"/>
    </row>
    <row r="28" spans="1:27">
      <c r="A28" s="7">
        <v>27</v>
      </c>
      <c r="B28" s="7">
        <f t="shared" si="10"/>
        <v>2280</v>
      </c>
      <c r="C28" s="7">
        <f t="shared" si="14"/>
        <v>57</v>
      </c>
      <c r="D28" s="7">
        <v>25</v>
      </c>
      <c r="E28" s="7"/>
      <c r="F28" s="7">
        <f t="shared" si="2"/>
        <v>46</v>
      </c>
      <c r="G28" s="7">
        <f t="shared" si="15"/>
        <v>243</v>
      </c>
      <c r="H28" s="7">
        <v>1</v>
      </c>
      <c r="I28" s="7">
        <f>IF(A28&lt;5,$X$1,IF(A28&gt;10,$AA$1,$Z$1))</f>
        <v>603</v>
      </c>
      <c r="J28" s="7">
        <v>20</v>
      </c>
      <c r="K28" s="7" t="str">
        <f>IF(H28=1,"",INDEX($X$1:$X$3,MATCH(H28,$V$1:$V$3,0)))</f>
        <v/>
      </c>
      <c r="L28" s="7" t="str">
        <f t="shared" si="4"/>
        <v/>
      </c>
      <c r="M28" s="7">
        <v>0</v>
      </c>
      <c r="N28" s="7">
        <f>IF(A28&lt;5,$X$1,IF(A28&gt;10,$AA$1,$Z$1))</f>
        <v>603</v>
      </c>
      <c r="O28" s="7">
        <v>20</v>
      </c>
      <c r="P28" s="7" t="str">
        <f>IF(H28=1,"",INDEX($X$1:$X$3,MATCH(H28,$V$1:$V$3,0)))</f>
        <v/>
      </c>
      <c r="Q28" s="7" t="str">
        <f t="shared" si="5"/>
        <v/>
      </c>
      <c r="R28" s="7"/>
      <c r="S28" s="7">
        <f t="shared" si="6"/>
        <v>40</v>
      </c>
      <c r="T28" s="7"/>
      <c r="U28" s="7"/>
      <c r="V28" s="7"/>
      <c r="Y28" s="4"/>
      <c r="AA28" s="7"/>
    </row>
    <row r="29" spans="1:27">
      <c r="A29" s="7">
        <v>28</v>
      </c>
      <c r="B29" s="7">
        <f t="shared" si="10"/>
        <v>2370</v>
      </c>
      <c r="C29" s="7">
        <f t="shared" si="14"/>
        <v>59</v>
      </c>
      <c r="D29" s="7">
        <v>26</v>
      </c>
      <c r="E29" s="7"/>
      <c r="F29" s="7">
        <f t="shared" si="2"/>
        <v>47</v>
      </c>
      <c r="G29" s="7">
        <f t="shared" si="15"/>
        <v>259.2</v>
      </c>
      <c r="H29" s="7">
        <v>1</v>
      </c>
      <c r="I29" s="7">
        <f>IF(A29&lt;5,$X$1,IF(A29&gt;10,$AA$1,$Z$1))</f>
        <v>603</v>
      </c>
      <c r="J29" s="7">
        <v>20</v>
      </c>
      <c r="K29" s="7" t="str">
        <f>IF(H29=1,"",INDEX($X$1:$X$3,MATCH(H29,$V$1:$V$3,0)))</f>
        <v/>
      </c>
      <c r="L29" s="7" t="str">
        <f t="shared" si="4"/>
        <v/>
      </c>
      <c r="M29" s="7">
        <v>0</v>
      </c>
      <c r="N29" s="7">
        <f>IF(A29&lt;5,$X$1,IF(A29&gt;10,$AA$1,$Z$1))</f>
        <v>603</v>
      </c>
      <c r="O29" s="7">
        <v>20</v>
      </c>
      <c r="P29" s="7" t="str">
        <f>IF(H29=1,"",INDEX($X$1:$X$3,MATCH(H29,$V$1:$V$3,0)))</f>
        <v/>
      </c>
      <c r="Q29" s="7" t="str">
        <f t="shared" si="5"/>
        <v/>
      </c>
      <c r="R29" s="7"/>
      <c r="S29" s="7">
        <f t="shared" si="6"/>
        <v>40</v>
      </c>
      <c r="T29" s="7"/>
      <c r="U29" s="7"/>
      <c r="V29" s="7"/>
      <c r="Y29" s="4"/>
      <c r="AA29" s="7"/>
    </row>
    <row r="30" spans="1:27">
      <c r="A30" s="7">
        <v>29</v>
      </c>
      <c r="B30" s="7">
        <f t="shared" si="10"/>
        <v>2460</v>
      </c>
      <c r="C30" s="7">
        <f t="shared" si="14"/>
        <v>61</v>
      </c>
      <c r="D30" s="7">
        <v>27</v>
      </c>
      <c r="E30" s="7"/>
      <c r="F30" s="7">
        <f t="shared" si="2"/>
        <v>49</v>
      </c>
      <c r="G30" s="7">
        <f>G31*0.85</f>
        <v>275.4</v>
      </c>
      <c r="H30" s="7">
        <v>1</v>
      </c>
      <c r="I30" s="7">
        <f>IF(A30&lt;5,$X$1,IF(A30&gt;10,$AA$1,$Z$1))</f>
        <v>603</v>
      </c>
      <c r="J30" s="7">
        <v>20</v>
      </c>
      <c r="K30" s="7" t="str">
        <f>IF(H30=1,"",INDEX($X$1:$X$3,MATCH(H30,$V$1:$V$3,0)))</f>
        <v/>
      </c>
      <c r="L30" s="7" t="str">
        <f t="shared" si="4"/>
        <v/>
      </c>
      <c r="M30" s="7">
        <v>0</v>
      </c>
      <c r="N30" s="7">
        <f>IF(A30&lt;5,$X$1,IF(A30&gt;10,$AA$1,$Z$1))</f>
        <v>603</v>
      </c>
      <c r="O30" s="7">
        <v>20</v>
      </c>
      <c r="P30" s="7" t="str">
        <f>IF(H30=1,"",INDEX($X$1:$X$3,MATCH(H30,$V$1:$V$3,0)))</f>
        <v/>
      </c>
      <c r="Q30" s="7" t="str">
        <f t="shared" si="5"/>
        <v/>
      </c>
      <c r="R30" s="7"/>
      <c r="S30" s="7">
        <f t="shared" si="6"/>
        <v>40</v>
      </c>
      <c r="T30" s="7"/>
      <c r="U30" s="7"/>
      <c r="V30" s="7"/>
      <c r="Y30" s="4"/>
      <c r="AA30" s="7"/>
    </row>
    <row r="31" spans="1:27">
      <c r="A31" s="7">
        <v>30</v>
      </c>
      <c r="B31" s="7">
        <f t="shared" si="10"/>
        <v>2550</v>
      </c>
      <c r="C31" s="7">
        <f t="shared" si="14"/>
        <v>63</v>
      </c>
      <c r="D31" s="7">
        <v>28</v>
      </c>
      <c r="E31" s="7"/>
      <c r="F31" s="7">
        <f t="shared" si="2"/>
        <v>50</v>
      </c>
      <c r="G31" s="7">
        <v>324</v>
      </c>
      <c r="H31" s="7">
        <v>3</v>
      </c>
      <c r="I31" s="7">
        <f>IF(A31&lt;5,$X$1,IF(A31&gt;10,$AA$1,$Z$1))</f>
        <v>603</v>
      </c>
      <c r="J31" s="7">
        <v>20</v>
      </c>
      <c r="K31" s="7">
        <f>IF(H31=1,"",INDEX($X$1:$X$3,MATCH(H31,$V$1:$V$3,0)))</f>
        <v>606</v>
      </c>
      <c r="L31" s="7">
        <f t="shared" si="4"/>
        <v>1</v>
      </c>
      <c r="M31" s="7">
        <v>0</v>
      </c>
      <c r="N31" s="7">
        <f>IF(A31&lt;5,$X$1,IF(A31&gt;10,$AA$1,$Z$1))</f>
        <v>603</v>
      </c>
      <c r="O31" s="7">
        <v>20</v>
      </c>
      <c r="P31" s="7">
        <f>IF(H31=1,"",INDEX($X$1:$X$3,MATCH(H31,$V$1:$V$3,0)))</f>
        <v>606</v>
      </c>
      <c r="Q31" s="7">
        <f t="shared" si="5"/>
        <v>1</v>
      </c>
      <c r="R31" s="7"/>
      <c r="S31" s="7">
        <f t="shared" si="6"/>
        <v>42</v>
      </c>
      <c r="T31" s="7"/>
      <c r="U31" s="7"/>
      <c r="V31" s="7"/>
      <c r="Y31" s="4"/>
      <c r="AA31" s="7"/>
    </row>
    <row r="32" spans="1:27">
      <c r="A32" s="7"/>
      <c r="B32" s="7"/>
      <c r="C32" s="7">
        <f t="shared" si="14"/>
        <v>0</v>
      </c>
      <c r="D32" s="7"/>
      <c r="E32" s="7"/>
      <c r="F32" s="7">
        <f t="shared" si="2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/>
      <c r="C33" s="7">
        <f t="shared" si="14"/>
        <v>0</v>
      </c>
      <c r="D33" s="7"/>
      <c r="E33" s="7"/>
      <c r="F33" s="7">
        <f t="shared" si="2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6">IF(I2="","",_xlfn.TEXTJOIN(",",TRUE,I2:J2))</f>
        <v>601,10</v>
      </c>
      <c r="J40" s="7" t="str">
        <f t="shared" ref="J40:J69" si="17">IF(I40="","",_xlfn.TEXTJOIN(",",TRUE,I40,H40))</f>
        <v>601,10,1</v>
      </c>
      <c r="K40" s="7" t="str">
        <f t="shared" si="16"/>
        <v/>
      </c>
      <c r="L40" s="7" t="str">
        <f t="shared" ref="L40:L69" si="18">IF(K40="","",_xlfn.TEXTJOIN(",",TRUE,K40,H40))</f>
        <v/>
      </c>
      <c r="M40" s="7" t="str">
        <f t="shared" ref="M40:M69" si="19">_xlfn.TEXTJOIN(";",TRUE,J40,L40)</f>
        <v>601,10,1</v>
      </c>
      <c r="N40" s="7" t="str">
        <f t="shared" si="16"/>
        <v>601,10</v>
      </c>
      <c r="O40" s="7" t="str">
        <f t="shared" ref="O40:O69" si="20">IF(N40="","",N40&amp;","&amp;H40)</f>
        <v>601,10,1</v>
      </c>
      <c r="P40" s="7" t="str">
        <f t="shared" ref="P40:P69" si="21">IF(P2="","",P2&amp;","&amp;Q2)</f>
        <v/>
      </c>
      <c r="Q40" s="7" t="str">
        <f t="shared" ref="Q40:Q69" si="22">IF(P40="","",P40&amp;","&amp;H40)</f>
        <v/>
      </c>
      <c r="R40" s="7" t="str">
        <f t="shared" ref="R40:R69" si="23">_xlfn.TEXTJOIN(";",TRUE,O40,Q40)</f>
        <v>601,10,1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4">IF(I3="","",_xlfn.TEXTJOIN(",",TRUE,I3:J3))</f>
        <v>601,10</v>
      </c>
      <c r="J41" s="7" t="str">
        <f t="shared" si="17"/>
        <v>601,10,2</v>
      </c>
      <c r="K41" s="7" t="str">
        <f t="shared" si="24"/>
        <v/>
      </c>
      <c r="L41" s="7" t="str">
        <f t="shared" si="18"/>
        <v/>
      </c>
      <c r="M41" s="7" t="str">
        <f t="shared" si="19"/>
        <v>601,10,2</v>
      </c>
      <c r="N41" s="7" t="str">
        <f t="shared" si="24"/>
        <v>601,10</v>
      </c>
      <c r="O41" s="7" t="str">
        <f t="shared" si="20"/>
        <v>601,10,2</v>
      </c>
      <c r="P41" s="7" t="str">
        <f t="shared" si="21"/>
        <v/>
      </c>
      <c r="Q41" s="7" t="str">
        <f t="shared" si="22"/>
        <v/>
      </c>
      <c r="R41" s="7" t="str">
        <f t="shared" si="23"/>
        <v>601,10,2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5">IF(I4="","",_xlfn.TEXTJOIN(",",TRUE,I4:J4))</f>
        <v>601,10</v>
      </c>
      <c r="J42" s="7" t="str">
        <f t="shared" si="17"/>
        <v>601,10,3</v>
      </c>
      <c r="K42" s="7" t="str">
        <f t="shared" si="25"/>
        <v/>
      </c>
      <c r="L42" s="7" t="str">
        <f t="shared" si="18"/>
        <v/>
      </c>
      <c r="M42" s="7" t="str">
        <f t="shared" si="19"/>
        <v>601,10,3</v>
      </c>
      <c r="N42" s="7" t="str">
        <f t="shared" si="25"/>
        <v>601,10</v>
      </c>
      <c r="O42" s="7" t="str">
        <f t="shared" si="20"/>
        <v>601,10,3</v>
      </c>
      <c r="P42" s="7" t="str">
        <f t="shared" si="21"/>
        <v/>
      </c>
      <c r="Q42" s="7" t="str">
        <f t="shared" si="22"/>
        <v/>
      </c>
      <c r="R42" s="7" t="str">
        <f t="shared" si="23"/>
        <v>601,10,3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6">IF(I5="","",_xlfn.TEXTJOIN(",",TRUE,I5:J5))</f>
        <v>601,10</v>
      </c>
      <c r="J43" s="7" t="str">
        <f t="shared" si="17"/>
        <v>601,10,4</v>
      </c>
      <c r="K43" s="7" t="str">
        <f t="shared" si="26"/>
        <v/>
      </c>
      <c r="L43" s="7" t="str">
        <f t="shared" si="18"/>
        <v/>
      </c>
      <c r="M43" s="7" t="str">
        <f t="shared" si="19"/>
        <v>601,10,4</v>
      </c>
      <c r="N43" s="7" t="str">
        <f t="shared" si="26"/>
        <v>601,10</v>
      </c>
      <c r="O43" s="7" t="str">
        <f t="shared" si="20"/>
        <v>601,10,4</v>
      </c>
      <c r="P43" s="7" t="str">
        <f t="shared" si="21"/>
        <v/>
      </c>
      <c r="Q43" s="7" t="str">
        <f t="shared" si="22"/>
        <v/>
      </c>
      <c r="R43" s="7" t="str">
        <f t="shared" si="23"/>
        <v>601,10,4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7">IF(I6="","",_xlfn.TEXTJOIN(",",TRUE,I6:J6))</f>
        <v>602,5</v>
      </c>
      <c r="J44" s="7" t="str">
        <f t="shared" si="17"/>
        <v>602,5,5</v>
      </c>
      <c r="K44" s="7" t="str">
        <f t="shared" si="27"/>
        <v>605,5</v>
      </c>
      <c r="L44" s="7" t="str">
        <f t="shared" si="18"/>
        <v>605,5,5</v>
      </c>
      <c r="M44" s="7" t="str">
        <f t="shared" si="19"/>
        <v>602,5,5;605,5,5</v>
      </c>
      <c r="N44" s="7" t="str">
        <f t="shared" si="27"/>
        <v>602,5</v>
      </c>
      <c r="O44" s="7" t="str">
        <f t="shared" si="20"/>
        <v>602,5,5</v>
      </c>
      <c r="P44" s="7" t="str">
        <f t="shared" si="21"/>
        <v>605,5</v>
      </c>
      <c r="Q44" s="7" t="str">
        <f t="shared" si="22"/>
        <v>605,5,5</v>
      </c>
      <c r="R44" s="7" t="str">
        <f t="shared" si="23"/>
        <v>602,5,5;605,5,5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8">IF(I7="","",_xlfn.TEXTJOIN(",",TRUE,I7:J7))</f>
        <v>602,10</v>
      </c>
      <c r="J45" s="7" t="str">
        <f t="shared" si="17"/>
        <v>602,10,6</v>
      </c>
      <c r="K45" s="7" t="str">
        <f t="shared" si="28"/>
        <v/>
      </c>
      <c r="L45" s="7" t="str">
        <f t="shared" si="18"/>
        <v/>
      </c>
      <c r="M45" s="7" t="str">
        <f t="shared" si="19"/>
        <v>602,10,6</v>
      </c>
      <c r="N45" s="7" t="str">
        <f t="shared" si="28"/>
        <v>602,10</v>
      </c>
      <c r="O45" s="7" t="str">
        <f t="shared" si="20"/>
        <v>602,10,6</v>
      </c>
      <c r="P45" s="7" t="str">
        <f t="shared" si="21"/>
        <v/>
      </c>
      <c r="Q45" s="7" t="str">
        <f t="shared" si="22"/>
        <v/>
      </c>
      <c r="R45" s="7" t="str">
        <f t="shared" si="23"/>
        <v>602,10,6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9">IF(I8="","",_xlfn.TEXTJOIN(",",TRUE,I8:J8))</f>
        <v>602,10</v>
      </c>
      <c r="J46" s="7" t="str">
        <f t="shared" si="17"/>
        <v>602,10,7</v>
      </c>
      <c r="K46" s="7" t="str">
        <f t="shared" si="29"/>
        <v/>
      </c>
      <c r="L46" s="7" t="str">
        <f t="shared" si="18"/>
        <v/>
      </c>
      <c r="M46" s="7" t="str">
        <f t="shared" si="19"/>
        <v>602,10,7</v>
      </c>
      <c r="N46" s="7" t="str">
        <f t="shared" si="29"/>
        <v>602,10</v>
      </c>
      <c r="O46" s="7" t="str">
        <f t="shared" si="20"/>
        <v>602,10,7</v>
      </c>
      <c r="P46" s="7" t="str">
        <f t="shared" si="21"/>
        <v/>
      </c>
      <c r="Q46" s="7" t="str">
        <f t="shared" si="22"/>
        <v/>
      </c>
      <c r="R46" s="7" t="str">
        <f t="shared" si="23"/>
        <v>602,10,7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30">IF(I9="","",_xlfn.TEXTJOIN(",",TRUE,I9:J9))</f>
        <v>602,10</v>
      </c>
      <c r="J47" s="7" t="str">
        <f t="shared" si="17"/>
        <v>602,10,8</v>
      </c>
      <c r="K47" s="7" t="str">
        <f t="shared" si="30"/>
        <v/>
      </c>
      <c r="L47" s="7" t="str">
        <f t="shared" si="18"/>
        <v/>
      </c>
      <c r="M47" s="7" t="str">
        <f t="shared" si="19"/>
        <v>602,10,8</v>
      </c>
      <c r="N47" s="7" t="str">
        <f t="shared" si="30"/>
        <v>602,10</v>
      </c>
      <c r="O47" s="7" t="str">
        <f t="shared" si="20"/>
        <v>602,10,8</v>
      </c>
      <c r="P47" s="7" t="str">
        <f t="shared" si="21"/>
        <v/>
      </c>
      <c r="Q47" s="7" t="str">
        <f t="shared" si="22"/>
        <v/>
      </c>
      <c r="R47" s="7" t="str">
        <f t="shared" si="23"/>
        <v>602,10,8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31">IF(I10="","",_xlfn.TEXTJOIN(",",TRUE,I10:J10))</f>
        <v>602,10</v>
      </c>
      <c r="J48" s="7" t="str">
        <f t="shared" si="17"/>
        <v>602,10,9</v>
      </c>
      <c r="K48" s="7" t="str">
        <f t="shared" si="31"/>
        <v/>
      </c>
      <c r="L48" s="7" t="str">
        <f t="shared" si="18"/>
        <v/>
      </c>
      <c r="M48" s="7" t="str">
        <f t="shared" si="19"/>
        <v>602,10,9</v>
      </c>
      <c r="N48" s="7" t="str">
        <f t="shared" si="31"/>
        <v>602,10</v>
      </c>
      <c r="O48" s="7" t="str">
        <f t="shared" si="20"/>
        <v>602,10,9</v>
      </c>
      <c r="P48" s="7" t="str">
        <f t="shared" si="21"/>
        <v/>
      </c>
      <c r="Q48" s="7" t="str">
        <f t="shared" si="22"/>
        <v/>
      </c>
      <c r="R48" s="7" t="str">
        <f t="shared" si="23"/>
        <v>602,10,9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2">IF(I11="","",_xlfn.TEXTJOIN(",",TRUE,I11:J11))</f>
        <v>602,10</v>
      </c>
      <c r="J49" s="7" t="str">
        <f t="shared" si="17"/>
        <v>602,10,10</v>
      </c>
      <c r="K49" s="7" t="str">
        <f t="shared" si="32"/>
        <v>606,1</v>
      </c>
      <c r="L49" s="7" t="str">
        <f t="shared" si="18"/>
        <v>606,1,10</v>
      </c>
      <c r="M49" s="7" t="str">
        <f t="shared" si="19"/>
        <v>602,10,10;606,1,10</v>
      </c>
      <c r="N49" s="7" t="str">
        <f t="shared" si="32"/>
        <v>602,10</v>
      </c>
      <c r="O49" s="7" t="str">
        <f t="shared" si="20"/>
        <v>602,10,10</v>
      </c>
      <c r="P49" s="7" t="str">
        <f t="shared" si="21"/>
        <v>606,1</v>
      </c>
      <c r="Q49" s="7" t="str">
        <f t="shared" si="22"/>
        <v>606,1,10</v>
      </c>
      <c r="R49" s="7" t="str">
        <f t="shared" si="23"/>
        <v>602,10,10;606,1,10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3">IF(I12="","",_xlfn.TEXTJOIN(",",TRUE,I12:J12))</f>
        <v>603,15</v>
      </c>
      <c r="J50" s="7" t="str">
        <f t="shared" si="17"/>
        <v>603,15,11</v>
      </c>
      <c r="K50" s="7" t="str">
        <f t="shared" si="33"/>
        <v/>
      </c>
      <c r="L50" s="7" t="str">
        <f t="shared" si="18"/>
        <v/>
      </c>
      <c r="M50" s="7" t="str">
        <f t="shared" si="19"/>
        <v>603,15,11</v>
      </c>
      <c r="N50" s="7" t="str">
        <f t="shared" si="33"/>
        <v>603,15</v>
      </c>
      <c r="O50" s="7" t="str">
        <f t="shared" si="20"/>
        <v>603,15,11</v>
      </c>
      <c r="P50" s="7" t="str">
        <f t="shared" si="21"/>
        <v/>
      </c>
      <c r="Q50" s="7" t="str">
        <f t="shared" si="22"/>
        <v/>
      </c>
      <c r="R50" s="7" t="str">
        <f t="shared" si="23"/>
        <v>603,15,11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4">IF(I13="","",_xlfn.TEXTJOIN(",",TRUE,I13:J13))</f>
        <v>603,15</v>
      </c>
      <c r="J51" s="7" t="str">
        <f t="shared" si="17"/>
        <v>603,15,12</v>
      </c>
      <c r="K51" s="7" t="str">
        <f t="shared" si="34"/>
        <v/>
      </c>
      <c r="L51" s="7" t="str">
        <f t="shared" si="18"/>
        <v/>
      </c>
      <c r="M51" s="7" t="str">
        <f t="shared" si="19"/>
        <v>603,15,12</v>
      </c>
      <c r="N51" s="7" t="str">
        <f t="shared" si="34"/>
        <v>603,15</v>
      </c>
      <c r="O51" s="7" t="str">
        <f t="shared" si="20"/>
        <v>603,15,12</v>
      </c>
      <c r="P51" s="7" t="str">
        <f t="shared" si="21"/>
        <v/>
      </c>
      <c r="Q51" s="7" t="str">
        <f t="shared" si="22"/>
        <v/>
      </c>
      <c r="R51" s="7" t="str">
        <f t="shared" si="23"/>
        <v>603,15,12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5">IF(I14="","",_xlfn.TEXTJOIN(",",TRUE,I14:J14))</f>
        <v>603,15</v>
      </c>
      <c r="J52" s="7" t="str">
        <f t="shared" si="17"/>
        <v>603,15,13</v>
      </c>
      <c r="K52" s="7" t="str">
        <f t="shared" si="35"/>
        <v/>
      </c>
      <c r="L52" s="7" t="str">
        <f t="shared" si="18"/>
        <v/>
      </c>
      <c r="M52" s="7" t="str">
        <f t="shared" si="19"/>
        <v>603,15,13</v>
      </c>
      <c r="N52" s="7" t="str">
        <f t="shared" si="35"/>
        <v>603,15</v>
      </c>
      <c r="O52" s="7" t="str">
        <f t="shared" si="20"/>
        <v>603,15,13</v>
      </c>
      <c r="P52" s="7" t="str">
        <f t="shared" si="21"/>
        <v/>
      </c>
      <c r="Q52" s="7" t="str">
        <f t="shared" si="22"/>
        <v/>
      </c>
      <c r="R52" s="7" t="str">
        <f t="shared" si="23"/>
        <v>603,15,13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6">IF(I15="","",_xlfn.TEXTJOIN(",",TRUE,I15:J15))</f>
        <v>603,15</v>
      </c>
      <c r="J53" s="7" t="str">
        <f t="shared" si="17"/>
        <v>603,15,14</v>
      </c>
      <c r="K53" s="7" t="str">
        <f t="shared" si="36"/>
        <v/>
      </c>
      <c r="L53" s="7" t="str">
        <f t="shared" si="18"/>
        <v/>
      </c>
      <c r="M53" s="7" t="str">
        <f t="shared" si="19"/>
        <v>603,15,14</v>
      </c>
      <c r="N53" s="7" t="str">
        <f t="shared" si="36"/>
        <v>603,15</v>
      </c>
      <c r="O53" s="7" t="str">
        <f t="shared" si="20"/>
        <v>603,15,14</v>
      </c>
      <c r="P53" s="7" t="str">
        <f t="shared" si="21"/>
        <v/>
      </c>
      <c r="Q53" s="7" t="str">
        <f t="shared" si="22"/>
        <v/>
      </c>
      <c r="R53" s="7" t="str">
        <f t="shared" si="23"/>
        <v>603,15,14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7">IF(I16="","",_xlfn.TEXTJOIN(",",TRUE,I16:J16))</f>
        <v>603,10</v>
      </c>
      <c r="J54" s="7" t="str">
        <f t="shared" si="17"/>
        <v>603,10,15</v>
      </c>
      <c r="K54" s="7" t="str">
        <f t="shared" si="37"/>
        <v>605,5</v>
      </c>
      <c r="L54" s="7" t="str">
        <f t="shared" si="18"/>
        <v>605,5,15</v>
      </c>
      <c r="M54" s="7" t="str">
        <f t="shared" si="19"/>
        <v>603,10,15;605,5,15</v>
      </c>
      <c r="N54" s="7" t="str">
        <f t="shared" si="37"/>
        <v>603,10</v>
      </c>
      <c r="O54" s="7" t="str">
        <f t="shared" si="20"/>
        <v>603,10,15</v>
      </c>
      <c r="P54" s="7" t="str">
        <f t="shared" si="21"/>
        <v>605,5</v>
      </c>
      <c r="Q54" s="7" t="str">
        <f t="shared" si="22"/>
        <v>605,5,15</v>
      </c>
      <c r="R54" s="7" t="str">
        <f t="shared" si="23"/>
        <v>603,10,15;605,5,15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8">IF(I17="","",_xlfn.TEXTJOIN(",",TRUE,I17:J17))</f>
        <v>603,15</v>
      </c>
      <c r="J55" s="7" t="str">
        <f t="shared" si="17"/>
        <v>603,15,16</v>
      </c>
      <c r="K55" s="7" t="str">
        <f t="shared" si="38"/>
        <v/>
      </c>
      <c r="L55" s="7" t="str">
        <f t="shared" si="18"/>
        <v/>
      </c>
      <c r="M55" s="7" t="str">
        <f t="shared" si="19"/>
        <v>603,15,16</v>
      </c>
      <c r="N55" s="7" t="str">
        <f t="shared" si="38"/>
        <v>603,15</v>
      </c>
      <c r="O55" s="7" t="str">
        <f t="shared" si="20"/>
        <v>603,15,16</v>
      </c>
      <c r="P55" s="7" t="str">
        <f t="shared" si="21"/>
        <v/>
      </c>
      <c r="Q55" s="7" t="str">
        <f t="shared" si="22"/>
        <v/>
      </c>
      <c r="R55" s="7" t="str">
        <f t="shared" si="23"/>
        <v>603,15,16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9">IF(I18="","",_xlfn.TEXTJOIN(",",TRUE,I18:J18))</f>
        <v>603,15</v>
      </c>
      <c r="J56" s="7" t="str">
        <f t="shared" si="17"/>
        <v>603,15,17</v>
      </c>
      <c r="K56" s="7" t="str">
        <f t="shared" si="39"/>
        <v/>
      </c>
      <c r="L56" s="7" t="str">
        <f t="shared" si="18"/>
        <v/>
      </c>
      <c r="M56" s="7" t="str">
        <f t="shared" si="19"/>
        <v>603,15,17</v>
      </c>
      <c r="N56" s="7" t="str">
        <f t="shared" si="39"/>
        <v>603,15</v>
      </c>
      <c r="O56" s="7" t="str">
        <f t="shared" si="20"/>
        <v>603,15,17</v>
      </c>
      <c r="P56" s="7" t="str">
        <f t="shared" si="21"/>
        <v/>
      </c>
      <c r="Q56" s="7" t="str">
        <f t="shared" si="22"/>
        <v/>
      </c>
      <c r="R56" s="7" t="str">
        <f t="shared" si="23"/>
        <v>603,15,17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40">IF(I19="","",_xlfn.TEXTJOIN(",",TRUE,I19:J19))</f>
        <v>603,15</v>
      </c>
      <c r="J57" s="7" t="str">
        <f t="shared" si="17"/>
        <v>603,15,18</v>
      </c>
      <c r="K57" s="7" t="str">
        <f t="shared" si="40"/>
        <v/>
      </c>
      <c r="L57" s="7" t="str">
        <f t="shared" si="18"/>
        <v/>
      </c>
      <c r="M57" s="7" t="str">
        <f t="shared" si="19"/>
        <v>603,15,18</v>
      </c>
      <c r="N57" s="7" t="str">
        <f t="shared" si="40"/>
        <v>603,15</v>
      </c>
      <c r="O57" s="7" t="str">
        <f t="shared" si="20"/>
        <v>603,15,18</v>
      </c>
      <c r="P57" s="7" t="str">
        <f t="shared" si="21"/>
        <v/>
      </c>
      <c r="Q57" s="7" t="str">
        <f t="shared" si="22"/>
        <v/>
      </c>
      <c r="R57" s="7" t="str">
        <f t="shared" si="23"/>
        <v>603,15,18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41">IF(I20="","",_xlfn.TEXTJOIN(",",TRUE,I20:J20))</f>
        <v>603,15</v>
      </c>
      <c r="J58" s="7" t="str">
        <f t="shared" si="17"/>
        <v>603,15,19</v>
      </c>
      <c r="K58" s="7" t="str">
        <f t="shared" si="41"/>
        <v/>
      </c>
      <c r="L58" s="7" t="str">
        <f t="shared" si="18"/>
        <v/>
      </c>
      <c r="M58" s="7" t="str">
        <f t="shared" si="19"/>
        <v>603,15,19</v>
      </c>
      <c r="N58" s="7" t="str">
        <f t="shared" si="41"/>
        <v>603,15</v>
      </c>
      <c r="O58" s="7" t="str">
        <f t="shared" si="20"/>
        <v>603,15,19</v>
      </c>
      <c r="P58" s="7" t="str">
        <f t="shared" si="21"/>
        <v/>
      </c>
      <c r="Q58" s="7" t="str">
        <f t="shared" si="22"/>
        <v/>
      </c>
      <c r="R58" s="7" t="str">
        <f t="shared" si="23"/>
        <v>603,15,19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2">IF(I21="","",_xlfn.TEXTJOIN(",",TRUE,I21:J21))</f>
        <v>603,15</v>
      </c>
      <c r="J59" s="7" t="str">
        <f t="shared" si="17"/>
        <v>603,15,20</v>
      </c>
      <c r="K59" s="7" t="str">
        <f t="shared" si="42"/>
        <v>606,1</v>
      </c>
      <c r="L59" s="7" t="str">
        <f t="shared" si="18"/>
        <v>606,1,20</v>
      </c>
      <c r="M59" s="7" t="str">
        <f t="shared" si="19"/>
        <v>603,15,20;606,1,20</v>
      </c>
      <c r="N59" s="7" t="str">
        <f t="shared" si="42"/>
        <v>603,15</v>
      </c>
      <c r="O59" s="7" t="str">
        <f t="shared" si="20"/>
        <v>603,15,20</v>
      </c>
      <c r="P59" s="7" t="str">
        <f t="shared" si="21"/>
        <v>606,1</v>
      </c>
      <c r="Q59" s="7" t="str">
        <f t="shared" si="22"/>
        <v>606,1,20</v>
      </c>
      <c r="R59" s="7" t="str">
        <f t="shared" si="23"/>
        <v>603,15,20;606,1,20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3">IF(I22="","",_xlfn.TEXTJOIN(",",TRUE,I22:J22))</f>
        <v>603,20</v>
      </c>
      <c r="J60" s="7" t="str">
        <f t="shared" si="17"/>
        <v>603,20,21</v>
      </c>
      <c r="K60" s="7" t="str">
        <f t="shared" si="43"/>
        <v/>
      </c>
      <c r="L60" s="7" t="str">
        <f t="shared" si="18"/>
        <v/>
      </c>
      <c r="M60" s="7" t="str">
        <f t="shared" si="19"/>
        <v>603,20,21</v>
      </c>
      <c r="N60" s="7" t="str">
        <f t="shared" si="43"/>
        <v>603,20</v>
      </c>
      <c r="O60" s="7" t="str">
        <f t="shared" si="20"/>
        <v>603,20,21</v>
      </c>
      <c r="P60" s="7" t="str">
        <f t="shared" si="21"/>
        <v/>
      </c>
      <c r="Q60" s="7" t="str">
        <f t="shared" si="22"/>
        <v/>
      </c>
      <c r="R60" s="7" t="str">
        <f t="shared" si="23"/>
        <v>603,20,21</v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4">IF(I23="","",_xlfn.TEXTJOIN(",",TRUE,I23:J23))</f>
        <v>603,20</v>
      </c>
      <c r="J61" s="7" t="str">
        <f t="shared" si="17"/>
        <v>603,20,22</v>
      </c>
      <c r="K61" s="7" t="str">
        <f t="shared" si="44"/>
        <v/>
      </c>
      <c r="L61" s="7" t="str">
        <f t="shared" si="18"/>
        <v/>
      </c>
      <c r="M61" s="7" t="str">
        <f t="shared" si="19"/>
        <v>603,20,22</v>
      </c>
      <c r="N61" s="7" t="str">
        <f t="shared" si="44"/>
        <v>603,20</v>
      </c>
      <c r="O61" s="7" t="str">
        <f t="shared" si="20"/>
        <v>603,20,22</v>
      </c>
      <c r="P61" s="7" t="str">
        <f t="shared" si="21"/>
        <v/>
      </c>
      <c r="Q61" s="7" t="str">
        <f t="shared" si="22"/>
        <v/>
      </c>
      <c r="R61" s="7" t="str">
        <f t="shared" si="23"/>
        <v>603,20,22</v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5">IF(I24="","",_xlfn.TEXTJOIN(",",TRUE,I24:J24))</f>
        <v>603,20</v>
      </c>
      <c r="J62" s="7" t="str">
        <f t="shared" si="17"/>
        <v>603,20,23</v>
      </c>
      <c r="K62" s="7" t="str">
        <f t="shared" si="45"/>
        <v/>
      </c>
      <c r="L62" s="7" t="str">
        <f t="shared" si="18"/>
        <v/>
      </c>
      <c r="M62" s="7" t="str">
        <f t="shared" si="19"/>
        <v>603,20,23</v>
      </c>
      <c r="N62" s="7" t="str">
        <f t="shared" si="45"/>
        <v>603,20</v>
      </c>
      <c r="O62" s="7" t="str">
        <f t="shared" si="20"/>
        <v>603,20,23</v>
      </c>
      <c r="P62" s="7" t="str">
        <f t="shared" si="21"/>
        <v/>
      </c>
      <c r="Q62" s="7" t="str">
        <f t="shared" si="22"/>
        <v/>
      </c>
      <c r="R62" s="7" t="str">
        <f t="shared" si="23"/>
        <v>603,20,23</v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6">IF(I25="","",_xlfn.TEXTJOIN(",",TRUE,I25:J25))</f>
        <v>603,20</v>
      </c>
      <c r="J63" s="7" t="str">
        <f t="shared" si="17"/>
        <v>603,20,24</v>
      </c>
      <c r="K63" s="7" t="str">
        <f t="shared" si="46"/>
        <v/>
      </c>
      <c r="L63" s="7" t="str">
        <f t="shared" si="18"/>
        <v/>
      </c>
      <c r="M63" s="7" t="str">
        <f t="shared" si="19"/>
        <v>603,20,24</v>
      </c>
      <c r="N63" s="7" t="str">
        <f t="shared" si="46"/>
        <v>603,20</v>
      </c>
      <c r="O63" s="7" t="str">
        <f t="shared" si="20"/>
        <v>603,20,24</v>
      </c>
      <c r="P63" s="7" t="str">
        <f t="shared" si="21"/>
        <v/>
      </c>
      <c r="Q63" s="7" t="str">
        <f t="shared" si="22"/>
        <v/>
      </c>
      <c r="R63" s="7" t="str">
        <f t="shared" si="23"/>
        <v>603,20,24</v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7">IF(I26="","",_xlfn.TEXTJOIN(",",TRUE,I26:J26))</f>
        <v>603,10</v>
      </c>
      <c r="J64" s="7" t="str">
        <f t="shared" si="17"/>
        <v>603,10,25</v>
      </c>
      <c r="K64" s="7" t="str">
        <f t="shared" si="47"/>
        <v>605,5</v>
      </c>
      <c r="L64" s="7" t="str">
        <f t="shared" si="18"/>
        <v>605,5,25</v>
      </c>
      <c r="M64" s="7" t="str">
        <f t="shared" si="19"/>
        <v>603,10,25;605,5,25</v>
      </c>
      <c r="N64" s="7" t="str">
        <f t="shared" si="47"/>
        <v>603,10</v>
      </c>
      <c r="O64" s="7" t="str">
        <f t="shared" si="20"/>
        <v>603,10,25</v>
      </c>
      <c r="P64" s="7" t="str">
        <f t="shared" si="21"/>
        <v>605,5</v>
      </c>
      <c r="Q64" s="7" t="str">
        <f t="shared" si="22"/>
        <v>605,5,25</v>
      </c>
      <c r="R64" s="7" t="str">
        <f t="shared" si="23"/>
        <v>603,10,25;605,5,25</v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8">IF(I27="","",_xlfn.TEXTJOIN(",",TRUE,I27:J27))</f>
        <v>603,20</v>
      </c>
      <c r="J65" s="7" t="str">
        <f t="shared" si="17"/>
        <v>603,20,26</v>
      </c>
      <c r="K65" s="7" t="str">
        <f t="shared" si="48"/>
        <v/>
      </c>
      <c r="L65" s="7" t="str">
        <f t="shared" si="18"/>
        <v/>
      </c>
      <c r="M65" s="7" t="str">
        <f t="shared" si="19"/>
        <v>603,20,26</v>
      </c>
      <c r="N65" s="7" t="str">
        <f t="shared" si="48"/>
        <v>603,20</v>
      </c>
      <c r="O65" s="7" t="str">
        <f t="shared" si="20"/>
        <v>603,20,26</v>
      </c>
      <c r="P65" s="7" t="str">
        <f t="shared" si="21"/>
        <v/>
      </c>
      <c r="Q65" s="7" t="str">
        <f t="shared" si="22"/>
        <v/>
      </c>
      <c r="R65" s="7" t="str">
        <f t="shared" si="23"/>
        <v>603,20,26</v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9">IF(I28="","",_xlfn.TEXTJOIN(",",TRUE,I28:J28))</f>
        <v>603,20</v>
      </c>
      <c r="J66" s="7" t="str">
        <f t="shared" si="17"/>
        <v>603,20,27</v>
      </c>
      <c r="K66" s="7" t="str">
        <f t="shared" si="49"/>
        <v/>
      </c>
      <c r="L66" s="7" t="str">
        <f t="shared" si="18"/>
        <v/>
      </c>
      <c r="M66" s="7" t="str">
        <f t="shared" si="19"/>
        <v>603,20,27</v>
      </c>
      <c r="N66" s="7" t="str">
        <f t="shared" si="49"/>
        <v>603,20</v>
      </c>
      <c r="O66" s="7" t="str">
        <f t="shared" si="20"/>
        <v>603,20,27</v>
      </c>
      <c r="P66" s="7" t="str">
        <f t="shared" si="21"/>
        <v/>
      </c>
      <c r="Q66" s="7" t="str">
        <f t="shared" si="22"/>
        <v/>
      </c>
      <c r="R66" s="7" t="str">
        <f t="shared" si="23"/>
        <v>603,20,27</v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50">IF(I29="","",_xlfn.TEXTJOIN(",",TRUE,I29:J29))</f>
        <v>603,20</v>
      </c>
      <c r="J67" s="7" t="str">
        <f t="shared" si="17"/>
        <v>603,20,28</v>
      </c>
      <c r="K67" s="7" t="str">
        <f t="shared" si="50"/>
        <v/>
      </c>
      <c r="L67" s="7" t="str">
        <f t="shared" si="18"/>
        <v/>
      </c>
      <c r="M67" s="7" t="str">
        <f t="shared" si="19"/>
        <v>603,20,28</v>
      </c>
      <c r="N67" s="7" t="str">
        <f t="shared" si="50"/>
        <v>603,20</v>
      </c>
      <c r="O67" s="7" t="str">
        <f t="shared" si="20"/>
        <v>603,20,28</v>
      </c>
      <c r="P67" s="7" t="str">
        <f t="shared" si="21"/>
        <v/>
      </c>
      <c r="Q67" s="7" t="str">
        <f t="shared" si="22"/>
        <v/>
      </c>
      <c r="R67" s="7" t="str">
        <f t="shared" si="23"/>
        <v>603,20,28</v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51">IF(I30="","",_xlfn.TEXTJOIN(",",TRUE,I30:J30))</f>
        <v>603,20</v>
      </c>
      <c r="J68" s="7" t="str">
        <f t="shared" si="17"/>
        <v>603,20,29</v>
      </c>
      <c r="K68" s="7" t="str">
        <f t="shared" si="51"/>
        <v/>
      </c>
      <c r="L68" s="7" t="str">
        <f t="shared" si="18"/>
        <v/>
      </c>
      <c r="M68" s="7" t="str">
        <f t="shared" si="19"/>
        <v>603,20,29</v>
      </c>
      <c r="N68" s="7" t="str">
        <f t="shared" si="51"/>
        <v>603,20</v>
      </c>
      <c r="O68" s="7" t="str">
        <f t="shared" si="20"/>
        <v>603,20,29</v>
      </c>
      <c r="P68" s="7" t="str">
        <f t="shared" si="21"/>
        <v/>
      </c>
      <c r="Q68" s="7" t="str">
        <f t="shared" si="22"/>
        <v/>
      </c>
      <c r="R68" s="7" t="str">
        <f t="shared" si="23"/>
        <v>603,20,29</v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2">IF(I31="","",_xlfn.TEXTJOIN(",",TRUE,I31:J31))</f>
        <v>603,20</v>
      </c>
      <c r="J69" s="7" t="str">
        <f t="shared" si="17"/>
        <v>603,20,30</v>
      </c>
      <c r="K69" s="7" t="str">
        <f t="shared" si="52"/>
        <v>606,1</v>
      </c>
      <c r="L69" s="7" t="str">
        <f t="shared" si="18"/>
        <v>606,1,30</v>
      </c>
      <c r="M69" s="7" t="str">
        <f t="shared" si="19"/>
        <v>603,20,30;606,1,30</v>
      </c>
      <c r="N69" s="7" t="str">
        <f t="shared" si="52"/>
        <v>603,20</v>
      </c>
      <c r="O69" s="7" t="str">
        <f t="shared" si="20"/>
        <v>603,20,30</v>
      </c>
      <c r="P69" s="7" t="str">
        <f t="shared" si="21"/>
        <v>606,1</v>
      </c>
      <c r="Q69" s="7" t="str">
        <f t="shared" si="22"/>
        <v>606,1,30</v>
      </c>
      <c r="R69" s="7" t="str">
        <f t="shared" si="23"/>
        <v>603,20,30;606,1,30</v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601,10,1|601,10,2|601,10,3|601,10,4|602,5,5;605,5,5|602,10,6|602,10,7|602,10,8|602,10,9|602,10,10;606,1,10|603,15,11|603,15,12|603,15,13|603,15,14|603,10,15;605,5,15|603,15,16|603,15,17|603,15,18|603,15,19|603,15,20;606,1,20|603,20,21|603,20,22|603,20,23|603,20,24|603,10,25;605,5,25|603,20,26|603,20,27|603,20,28|603,20,29|603,20,30;606,1,30</v>
      </c>
      <c r="N71" s="7"/>
      <c r="O71" s="7"/>
      <c r="P71" s="7"/>
      <c r="Q71" s="7"/>
      <c r="R71" s="15" t="str">
        <f>_xlfn.TEXTJOIN("|",TRUE,R40:R69)</f>
        <v>601,10,1|601,10,2|601,10,3|601,10,4|602,5,5;605,5,5|602,10,6|602,10,7|602,10,8|602,10,9|602,10,10;606,1,10|603,15,11|603,15,12|603,15,13|603,15,14|603,10,15;605,5,15|603,15,16|603,15,17|603,15,18|603,15,19|603,15,20;606,1,20|603,20,21|603,20,22|603,20,23|603,20,24|603,10,25;605,5,25|603,20,26|603,20,27|603,20,28|603,20,29|603,20,30;606,1,30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4</v>
      </c>
      <c r="O79" s="4">
        <f>W79*(1-(N79-1)/6)*1</f>
        <v>1</v>
      </c>
      <c r="P79" s="7">
        <f>W79/6*1</f>
        <v>0.333333333333333</v>
      </c>
      <c r="Q79" s="7">
        <f>W79/6*1</f>
        <v>0.333333333333333</v>
      </c>
      <c r="R79" s="7">
        <f>W79/6*1</f>
        <v>0.333333333333333</v>
      </c>
      <c r="S79" s="7">
        <v>0</v>
      </c>
      <c r="T79" s="7">
        <v>0</v>
      </c>
      <c r="U79" s="7">
        <f t="shared" ref="U79:U108" si="53">SUM(P79:T79)+O79*0.2</f>
        <v>1.2</v>
      </c>
      <c r="V79" s="4">
        <v>1</v>
      </c>
      <c r="W79" s="7">
        <f t="shared" ref="W79:W108" si="54">C2</f>
        <v>2</v>
      </c>
      <c r="X79" s="4">
        <f t="shared" ref="X79:X108" si="55">(O79*W79)^V79</f>
        <v>2</v>
      </c>
      <c r="Y79" s="4">
        <f t="shared" ref="Y79:Y108" si="56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7">$R$77*U79*(AB79+AC79)</f>
        <v>1050</v>
      </c>
      <c r="AE79" s="4">
        <f t="shared" ref="AE79:AE108" si="58">ROUND(AD79/AA79*V79,0)</f>
        <v>53</v>
      </c>
      <c r="AF79" s="4">
        <f t="shared" ref="AF79:AF108" si="59">ROUND(AD79/AA79*V79*AG79,0)</f>
        <v>18</v>
      </c>
      <c r="AG79" s="4">
        <v>0.35</v>
      </c>
      <c r="AH79" s="4">
        <f>AF79</f>
        <v>18</v>
      </c>
    </row>
    <row r="80" customFormat="1" spans="1:34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4</v>
      </c>
      <c r="O80" s="4">
        <f t="shared" ref="O80:O108" si="60">W80*(1-(N80-1)/6)*1</f>
        <v>2</v>
      </c>
      <c r="P80" s="7">
        <f t="shared" ref="P80:P108" si="61">W80/6*1</f>
        <v>0.666666666666667</v>
      </c>
      <c r="Q80" s="7">
        <f t="shared" ref="Q80:Q108" si="62">W80/6*1</f>
        <v>0.666666666666667</v>
      </c>
      <c r="R80" s="7">
        <f t="shared" ref="R80:R108" si="63">W80/6*1</f>
        <v>0.666666666666667</v>
      </c>
      <c r="S80" s="7">
        <v>0</v>
      </c>
      <c r="T80" s="7">
        <v>0</v>
      </c>
      <c r="U80" s="7">
        <f t="shared" si="53"/>
        <v>2.4</v>
      </c>
      <c r="V80" s="4">
        <v>1</v>
      </c>
      <c r="W80" s="7">
        <f t="shared" si="54"/>
        <v>4</v>
      </c>
      <c r="X80" s="4">
        <f t="shared" si="55"/>
        <v>8</v>
      </c>
      <c r="Y80" s="4">
        <f t="shared" si="56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7"/>
        <v>2100</v>
      </c>
      <c r="AE80" s="4">
        <f t="shared" si="58"/>
        <v>105</v>
      </c>
      <c r="AF80" s="4">
        <f t="shared" si="59"/>
        <v>37</v>
      </c>
      <c r="AG80" s="4">
        <v>0.35</v>
      </c>
      <c r="AH80" s="4">
        <f t="shared" ref="AH80:AH108" si="64">AF80</f>
        <v>37</v>
      </c>
    </row>
    <row r="81" customFormat="1" spans="1:34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4</v>
      </c>
      <c r="O81" s="4">
        <f t="shared" si="60"/>
        <v>3</v>
      </c>
      <c r="P81" s="7">
        <f t="shared" si="61"/>
        <v>1</v>
      </c>
      <c r="Q81" s="7">
        <f t="shared" si="62"/>
        <v>1</v>
      </c>
      <c r="R81" s="7">
        <f t="shared" si="63"/>
        <v>1</v>
      </c>
      <c r="S81" s="7">
        <v>0</v>
      </c>
      <c r="T81" s="7">
        <v>0</v>
      </c>
      <c r="U81" s="7">
        <f t="shared" si="53"/>
        <v>3.6</v>
      </c>
      <c r="V81" s="4">
        <v>1</v>
      </c>
      <c r="W81" s="7">
        <f t="shared" si="54"/>
        <v>6</v>
      </c>
      <c r="X81" s="4">
        <f t="shared" si="55"/>
        <v>18</v>
      </c>
      <c r="Y81" s="4">
        <f t="shared" si="56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7"/>
        <v>3150</v>
      </c>
      <c r="AE81" s="4">
        <f t="shared" si="58"/>
        <v>158</v>
      </c>
      <c r="AF81" s="4">
        <f t="shared" si="59"/>
        <v>63</v>
      </c>
      <c r="AG81" s="4">
        <v>0.4</v>
      </c>
      <c r="AH81" s="4">
        <f t="shared" si="64"/>
        <v>63</v>
      </c>
    </row>
    <row r="82" customFormat="1" spans="1:34">
      <c r="A82" s="4">
        <v>4</v>
      </c>
      <c r="B82" s="7">
        <v>1</v>
      </c>
      <c r="C82" s="7"/>
      <c r="D82" s="7"/>
      <c r="E82" s="7"/>
      <c r="F82" s="7"/>
      <c r="G82" s="7"/>
      <c r="H82" s="4">
        <v>1</v>
      </c>
      <c r="I82" s="4"/>
      <c r="J82" s="7"/>
      <c r="K82" s="7"/>
      <c r="L82" s="7">
        <v>0</v>
      </c>
      <c r="M82" s="7">
        <v>0</v>
      </c>
      <c r="N82" s="7">
        <v>4</v>
      </c>
      <c r="O82" s="4">
        <f t="shared" si="60"/>
        <v>3.5</v>
      </c>
      <c r="P82" s="7">
        <f t="shared" si="61"/>
        <v>1.16666666666667</v>
      </c>
      <c r="Q82" s="7">
        <f t="shared" si="62"/>
        <v>1.16666666666667</v>
      </c>
      <c r="R82" s="7">
        <f t="shared" si="63"/>
        <v>1.16666666666667</v>
      </c>
      <c r="S82" s="7">
        <v>0</v>
      </c>
      <c r="T82" s="7">
        <v>0</v>
      </c>
      <c r="U82" s="7">
        <f t="shared" si="53"/>
        <v>4.2</v>
      </c>
      <c r="V82" s="4">
        <v>1</v>
      </c>
      <c r="W82" s="7">
        <f t="shared" si="54"/>
        <v>7</v>
      </c>
      <c r="X82" s="4">
        <f t="shared" si="55"/>
        <v>24.5</v>
      </c>
      <c r="Y82" s="4">
        <f t="shared" si="56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7"/>
        <v>3675</v>
      </c>
      <c r="AE82" s="4">
        <f t="shared" si="58"/>
        <v>184</v>
      </c>
      <c r="AF82" s="4">
        <f t="shared" si="59"/>
        <v>74</v>
      </c>
      <c r="AG82" s="4">
        <v>0.4</v>
      </c>
      <c r="AH82" s="4">
        <f t="shared" si="64"/>
        <v>74</v>
      </c>
    </row>
    <row r="83" customFormat="1" spans="1:34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4</v>
      </c>
      <c r="O83" s="4">
        <f t="shared" si="60"/>
        <v>4.5</v>
      </c>
      <c r="P83" s="7">
        <f t="shared" si="61"/>
        <v>1.5</v>
      </c>
      <c r="Q83" s="7">
        <f t="shared" si="62"/>
        <v>1.5</v>
      </c>
      <c r="R83" s="7">
        <f t="shared" si="63"/>
        <v>1.5</v>
      </c>
      <c r="S83" s="7">
        <v>0</v>
      </c>
      <c r="T83" s="7">
        <v>0</v>
      </c>
      <c r="U83" s="7">
        <f t="shared" si="53"/>
        <v>5.4</v>
      </c>
      <c r="V83" s="4">
        <v>1</v>
      </c>
      <c r="W83" s="7">
        <f t="shared" si="54"/>
        <v>9</v>
      </c>
      <c r="X83" s="4">
        <f t="shared" si="55"/>
        <v>40.5</v>
      </c>
      <c r="Y83" s="4">
        <f t="shared" si="56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7"/>
        <v>4725</v>
      </c>
      <c r="AE83" s="4">
        <f t="shared" si="58"/>
        <v>118</v>
      </c>
      <c r="AF83" s="4">
        <f t="shared" si="59"/>
        <v>53</v>
      </c>
      <c r="AG83" s="4">
        <v>0.45</v>
      </c>
      <c r="AH83" s="4">
        <f t="shared" si="64"/>
        <v>53</v>
      </c>
    </row>
    <row r="84" customFormat="1" spans="1:34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/>
      <c r="K84" s="7"/>
      <c r="L84" s="7">
        <v>0</v>
      </c>
      <c r="M84" s="7">
        <v>0</v>
      </c>
      <c r="N84" s="7">
        <v>4</v>
      </c>
      <c r="O84" s="4">
        <f t="shared" si="60"/>
        <v>5.5</v>
      </c>
      <c r="P84" s="7">
        <f t="shared" si="61"/>
        <v>1.83333333333333</v>
      </c>
      <c r="Q84" s="7">
        <f t="shared" si="62"/>
        <v>1.83333333333333</v>
      </c>
      <c r="R84" s="7">
        <f t="shared" si="63"/>
        <v>1.83333333333333</v>
      </c>
      <c r="S84" s="7">
        <v>0</v>
      </c>
      <c r="T84" s="7">
        <v>0</v>
      </c>
      <c r="U84" s="7">
        <f t="shared" si="53"/>
        <v>6.6</v>
      </c>
      <c r="V84" s="4">
        <v>1</v>
      </c>
      <c r="W84" s="7">
        <f t="shared" si="54"/>
        <v>11</v>
      </c>
      <c r="X84" s="4">
        <f t="shared" si="55"/>
        <v>60.5</v>
      </c>
      <c r="Y84" s="4">
        <f t="shared" si="56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7"/>
        <v>5775</v>
      </c>
      <c r="AE84" s="4">
        <f t="shared" si="58"/>
        <v>289</v>
      </c>
      <c r="AF84" s="4">
        <f t="shared" si="59"/>
        <v>130</v>
      </c>
      <c r="AG84" s="4">
        <v>0.45</v>
      </c>
      <c r="AH84" s="4">
        <f t="shared" si="64"/>
        <v>130</v>
      </c>
    </row>
    <row r="85" customFormat="1" spans="1:34">
      <c r="A85" s="9">
        <v>7</v>
      </c>
      <c r="B85" s="10"/>
      <c r="C85" s="10"/>
      <c r="D85" s="10"/>
      <c r="E85" s="10"/>
      <c r="F85" s="10"/>
      <c r="G85" s="10"/>
      <c r="H85" s="4">
        <v>0.5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 t="shared" si="60"/>
        <v>6.5</v>
      </c>
      <c r="P85" s="7">
        <f t="shared" si="61"/>
        <v>2.16666666666667</v>
      </c>
      <c r="Q85" s="7">
        <f t="shared" si="62"/>
        <v>2.16666666666667</v>
      </c>
      <c r="R85" s="7">
        <f t="shared" si="63"/>
        <v>2.16666666666667</v>
      </c>
      <c r="S85" s="7">
        <v>0</v>
      </c>
      <c r="T85" s="7">
        <v>0</v>
      </c>
      <c r="U85" s="7">
        <f t="shared" si="53"/>
        <v>7.8</v>
      </c>
      <c r="V85" s="4">
        <v>1</v>
      </c>
      <c r="W85" s="7">
        <f t="shared" si="54"/>
        <v>13</v>
      </c>
      <c r="X85" s="4">
        <f t="shared" si="55"/>
        <v>84.5</v>
      </c>
      <c r="Y85" s="4">
        <f t="shared" si="56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7"/>
        <v>6825</v>
      </c>
      <c r="AE85" s="4">
        <f t="shared" si="58"/>
        <v>341</v>
      </c>
      <c r="AF85" s="4">
        <f t="shared" si="59"/>
        <v>154</v>
      </c>
      <c r="AG85" s="4">
        <v>0.45</v>
      </c>
      <c r="AH85" s="4">
        <f t="shared" si="64"/>
        <v>154</v>
      </c>
    </row>
    <row r="86" customFormat="1" spans="1:34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 t="shared" si="60"/>
        <v>7</v>
      </c>
      <c r="P86" s="7">
        <f t="shared" si="61"/>
        <v>2.33333333333333</v>
      </c>
      <c r="Q86" s="7">
        <f t="shared" si="62"/>
        <v>2.33333333333333</v>
      </c>
      <c r="R86" s="7">
        <f t="shared" si="63"/>
        <v>2.33333333333333</v>
      </c>
      <c r="S86" s="7">
        <v>0</v>
      </c>
      <c r="T86" s="7">
        <v>0</v>
      </c>
      <c r="U86" s="7">
        <f t="shared" si="53"/>
        <v>8.4</v>
      </c>
      <c r="V86" s="4">
        <v>1</v>
      </c>
      <c r="W86" s="7">
        <f t="shared" si="54"/>
        <v>14</v>
      </c>
      <c r="X86" s="4">
        <f t="shared" si="55"/>
        <v>98</v>
      </c>
      <c r="Y86" s="4">
        <f t="shared" si="56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7"/>
        <v>7350</v>
      </c>
      <c r="AE86" s="4">
        <f t="shared" si="58"/>
        <v>368</v>
      </c>
      <c r="AF86" s="4">
        <f t="shared" si="59"/>
        <v>165</v>
      </c>
      <c r="AG86" s="4">
        <v>0.45</v>
      </c>
      <c r="AH86" s="4">
        <f t="shared" si="64"/>
        <v>165</v>
      </c>
    </row>
    <row r="87" customFormat="1" spans="1:34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 t="shared" si="60"/>
        <v>8</v>
      </c>
      <c r="P87" s="7">
        <f t="shared" si="61"/>
        <v>2.66666666666667</v>
      </c>
      <c r="Q87" s="7">
        <f t="shared" si="62"/>
        <v>2.66666666666667</v>
      </c>
      <c r="R87" s="7">
        <f t="shared" si="63"/>
        <v>2.66666666666667</v>
      </c>
      <c r="S87" s="7">
        <v>0</v>
      </c>
      <c r="T87" s="7">
        <v>0</v>
      </c>
      <c r="U87" s="7">
        <f t="shared" si="53"/>
        <v>9.6</v>
      </c>
      <c r="V87" s="4">
        <v>1</v>
      </c>
      <c r="W87" s="7">
        <f t="shared" si="54"/>
        <v>16</v>
      </c>
      <c r="X87" s="4">
        <f t="shared" si="55"/>
        <v>128</v>
      </c>
      <c r="Y87" s="4">
        <f t="shared" si="56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7"/>
        <v>8400</v>
      </c>
      <c r="AE87" s="4">
        <f t="shared" si="58"/>
        <v>420</v>
      </c>
      <c r="AF87" s="4">
        <f t="shared" si="59"/>
        <v>189</v>
      </c>
      <c r="AG87" s="4">
        <v>0.45</v>
      </c>
      <c r="AH87" s="4">
        <f t="shared" si="64"/>
        <v>189</v>
      </c>
    </row>
    <row r="88" customFormat="1" spans="1:34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 t="shared" si="60"/>
        <v>9</v>
      </c>
      <c r="P88" s="7">
        <f t="shared" si="61"/>
        <v>3</v>
      </c>
      <c r="Q88" s="7">
        <f t="shared" si="62"/>
        <v>3</v>
      </c>
      <c r="R88" s="7">
        <f t="shared" si="63"/>
        <v>3</v>
      </c>
      <c r="S88" s="7">
        <v>0</v>
      </c>
      <c r="T88" s="7">
        <v>0</v>
      </c>
      <c r="U88" s="7">
        <f t="shared" si="53"/>
        <v>10.8</v>
      </c>
      <c r="V88" s="4">
        <v>1</v>
      </c>
      <c r="W88" s="7">
        <f t="shared" si="54"/>
        <v>18</v>
      </c>
      <c r="X88" s="4">
        <f t="shared" si="55"/>
        <v>162</v>
      </c>
      <c r="Y88" s="4">
        <f t="shared" si="56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7"/>
        <v>9450</v>
      </c>
      <c r="AE88" s="4">
        <f t="shared" si="58"/>
        <v>236</v>
      </c>
      <c r="AF88" s="4">
        <f t="shared" si="59"/>
        <v>118</v>
      </c>
      <c r="AG88" s="4">
        <v>0.5</v>
      </c>
      <c r="AH88" s="4">
        <f t="shared" si="64"/>
        <v>118</v>
      </c>
    </row>
    <row r="89" customFormat="1" spans="1:34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 t="shared" si="60"/>
        <v>10.5</v>
      </c>
      <c r="P89" s="7">
        <f t="shared" si="61"/>
        <v>3.5</v>
      </c>
      <c r="Q89" s="7">
        <f t="shared" si="62"/>
        <v>3.5</v>
      </c>
      <c r="R89" s="7">
        <f t="shared" si="63"/>
        <v>3.5</v>
      </c>
      <c r="S89" s="7">
        <v>0</v>
      </c>
      <c r="T89" s="7">
        <v>0</v>
      </c>
      <c r="U89" s="7">
        <f t="shared" si="53"/>
        <v>12.6</v>
      </c>
      <c r="V89" s="4">
        <v>1</v>
      </c>
      <c r="W89" s="7">
        <f t="shared" si="54"/>
        <v>21</v>
      </c>
      <c r="X89" s="4">
        <f t="shared" si="55"/>
        <v>220.5</v>
      </c>
      <c r="Y89" s="4">
        <f t="shared" si="56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7"/>
        <v>11025</v>
      </c>
      <c r="AE89" s="4">
        <f t="shared" si="58"/>
        <v>368</v>
      </c>
      <c r="AF89" s="4">
        <f t="shared" si="59"/>
        <v>184</v>
      </c>
      <c r="AG89" s="4">
        <v>0.5</v>
      </c>
      <c r="AH89" s="4">
        <f t="shared" si="64"/>
        <v>184</v>
      </c>
    </row>
    <row r="90" customFormat="1" spans="1:34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 t="shared" si="60"/>
        <v>11.5</v>
      </c>
      <c r="P90" s="7">
        <f t="shared" si="61"/>
        <v>3.83333333333333</v>
      </c>
      <c r="Q90" s="7">
        <f t="shared" si="62"/>
        <v>3.83333333333333</v>
      </c>
      <c r="R90" s="7">
        <f t="shared" si="63"/>
        <v>3.83333333333333</v>
      </c>
      <c r="S90" s="7">
        <v>0</v>
      </c>
      <c r="T90" s="7">
        <v>0</v>
      </c>
      <c r="U90" s="7">
        <f t="shared" si="53"/>
        <v>13.8</v>
      </c>
      <c r="V90" s="4">
        <v>1</v>
      </c>
      <c r="W90" s="7">
        <f t="shared" si="54"/>
        <v>23</v>
      </c>
      <c r="X90" s="4">
        <f t="shared" si="55"/>
        <v>264.5</v>
      </c>
      <c r="Y90" s="4">
        <f t="shared" si="56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7"/>
        <v>12075</v>
      </c>
      <c r="AE90" s="4">
        <f t="shared" si="58"/>
        <v>403</v>
      </c>
      <c r="AF90" s="4">
        <f t="shared" si="59"/>
        <v>221</v>
      </c>
      <c r="AG90" s="4">
        <v>0.55</v>
      </c>
      <c r="AH90" s="4">
        <f t="shared" si="64"/>
        <v>221</v>
      </c>
    </row>
    <row r="91" customFormat="1" spans="1:34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 t="shared" si="60"/>
        <v>12.5</v>
      </c>
      <c r="P91" s="7">
        <f t="shared" si="61"/>
        <v>4.16666666666667</v>
      </c>
      <c r="Q91" s="7">
        <f t="shared" si="62"/>
        <v>4.16666666666667</v>
      </c>
      <c r="R91" s="7">
        <f t="shared" si="63"/>
        <v>4.16666666666667</v>
      </c>
      <c r="S91" s="7">
        <v>0</v>
      </c>
      <c r="T91" s="7">
        <v>0</v>
      </c>
      <c r="U91" s="7">
        <f t="shared" si="53"/>
        <v>15</v>
      </c>
      <c r="V91" s="4">
        <v>1</v>
      </c>
      <c r="W91" s="7">
        <f t="shared" si="54"/>
        <v>25</v>
      </c>
      <c r="X91" s="4">
        <f t="shared" si="55"/>
        <v>312.5</v>
      </c>
      <c r="Y91" s="4">
        <f t="shared" si="56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7"/>
        <v>13125</v>
      </c>
      <c r="AE91" s="4">
        <f t="shared" si="58"/>
        <v>438</v>
      </c>
      <c r="AF91" s="4">
        <f t="shared" si="59"/>
        <v>241</v>
      </c>
      <c r="AG91" s="4">
        <v>0.55</v>
      </c>
      <c r="AH91" s="4">
        <f t="shared" si="64"/>
        <v>241</v>
      </c>
    </row>
    <row r="92" customFormat="1" spans="1:34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 t="shared" si="60"/>
        <v>13.5</v>
      </c>
      <c r="P92" s="7">
        <f t="shared" si="61"/>
        <v>4.5</v>
      </c>
      <c r="Q92" s="7">
        <f t="shared" si="62"/>
        <v>4.5</v>
      </c>
      <c r="R92" s="7">
        <f t="shared" si="63"/>
        <v>4.5</v>
      </c>
      <c r="S92" s="7">
        <v>0</v>
      </c>
      <c r="T92" s="7">
        <v>0</v>
      </c>
      <c r="U92" s="7">
        <f t="shared" si="53"/>
        <v>16.2</v>
      </c>
      <c r="V92" s="4">
        <v>1</v>
      </c>
      <c r="W92" s="7">
        <f t="shared" si="54"/>
        <v>27</v>
      </c>
      <c r="X92" s="4">
        <f t="shared" si="55"/>
        <v>364.5</v>
      </c>
      <c r="Y92" s="4">
        <f t="shared" si="56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7"/>
        <v>14175</v>
      </c>
      <c r="AE92" s="4">
        <f t="shared" si="58"/>
        <v>473</v>
      </c>
      <c r="AF92" s="4">
        <f t="shared" si="59"/>
        <v>260</v>
      </c>
      <c r="AG92" s="4">
        <v>0.55</v>
      </c>
      <c r="AH92" s="4">
        <f t="shared" si="64"/>
        <v>260</v>
      </c>
    </row>
    <row r="93" customFormat="1" spans="1:34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 t="shared" si="60"/>
        <v>15</v>
      </c>
      <c r="P93" s="7">
        <f t="shared" si="61"/>
        <v>5</v>
      </c>
      <c r="Q93" s="7">
        <f t="shared" si="62"/>
        <v>5</v>
      </c>
      <c r="R93" s="7">
        <f t="shared" si="63"/>
        <v>5</v>
      </c>
      <c r="S93" s="7">
        <v>0</v>
      </c>
      <c r="T93" s="7">
        <v>0</v>
      </c>
      <c r="U93" s="7">
        <f t="shared" si="53"/>
        <v>18</v>
      </c>
      <c r="V93" s="4">
        <v>1.1</v>
      </c>
      <c r="W93" s="7">
        <f t="shared" si="54"/>
        <v>30</v>
      </c>
      <c r="X93" s="4">
        <f t="shared" si="55"/>
        <v>828.960363063275</v>
      </c>
      <c r="Y93" s="4">
        <f t="shared" si="56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7"/>
        <v>15750</v>
      </c>
      <c r="AE93" s="4">
        <f t="shared" si="58"/>
        <v>433</v>
      </c>
      <c r="AF93" s="4">
        <f t="shared" si="59"/>
        <v>260</v>
      </c>
      <c r="AG93" s="4">
        <v>0.6</v>
      </c>
      <c r="AH93" s="4">
        <f t="shared" si="64"/>
        <v>260</v>
      </c>
    </row>
    <row r="94" customFormat="1" spans="1:34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 t="shared" si="60"/>
        <v>16</v>
      </c>
      <c r="P94" s="7">
        <f t="shared" si="61"/>
        <v>5.33333333333333</v>
      </c>
      <c r="Q94" s="7">
        <f t="shared" si="62"/>
        <v>5.33333333333333</v>
      </c>
      <c r="R94" s="7">
        <f t="shared" si="63"/>
        <v>5.33333333333333</v>
      </c>
      <c r="S94" s="7">
        <v>0</v>
      </c>
      <c r="T94" s="7">
        <v>0</v>
      </c>
      <c r="U94" s="7">
        <f t="shared" si="53"/>
        <v>19.2</v>
      </c>
      <c r="V94" s="4">
        <v>1.1</v>
      </c>
      <c r="W94" s="7">
        <f t="shared" si="54"/>
        <v>32</v>
      </c>
      <c r="X94" s="4">
        <f t="shared" si="55"/>
        <v>955.425783333691</v>
      </c>
      <c r="Y94" s="4">
        <f t="shared" si="56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57"/>
        <v>16800</v>
      </c>
      <c r="AE94" s="4">
        <f t="shared" si="58"/>
        <v>616</v>
      </c>
      <c r="AF94" s="4">
        <f t="shared" si="59"/>
        <v>370</v>
      </c>
      <c r="AG94" s="4">
        <v>0.6</v>
      </c>
      <c r="AH94" s="4">
        <f t="shared" si="64"/>
        <v>370</v>
      </c>
    </row>
    <row r="95" customFormat="1" spans="1:34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 t="shared" si="60"/>
        <v>17</v>
      </c>
      <c r="P95" s="7">
        <f t="shared" si="61"/>
        <v>5.66666666666667</v>
      </c>
      <c r="Q95" s="7">
        <f t="shared" si="62"/>
        <v>5.66666666666667</v>
      </c>
      <c r="R95" s="7">
        <f t="shared" si="63"/>
        <v>5.66666666666667</v>
      </c>
      <c r="S95" s="7">
        <v>0</v>
      </c>
      <c r="T95" s="7">
        <v>0</v>
      </c>
      <c r="U95" s="7">
        <f t="shared" si="53"/>
        <v>20.4</v>
      </c>
      <c r="V95" s="4">
        <v>1.1</v>
      </c>
      <c r="W95" s="7">
        <f t="shared" si="54"/>
        <v>34</v>
      </c>
      <c r="X95" s="4">
        <f t="shared" si="55"/>
        <v>1091.74351848939</v>
      </c>
      <c r="Y95" s="4">
        <f t="shared" si="56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57"/>
        <v>17850</v>
      </c>
      <c r="AE95" s="4">
        <f t="shared" si="58"/>
        <v>655</v>
      </c>
      <c r="AF95" s="4">
        <f t="shared" si="59"/>
        <v>393</v>
      </c>
      <c r="AG95" s="4">
        <v>0.6</v>
      </c>
      <c r="AH95" s="4">
        <f t="shared" si="64"/>
        <v>393</v>
      </c>
    </row>
    <row r="96" customFormat="1" spans="1:34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 t="shared" si="60"/>
        <v>18</v>
      </c>
      <c r="P96" s="7">
        <f t="shared" si="61"/>
        <v>6</v>
      </c>
      <c r="Q96" s="7">
        <f t="shared" si="62"/>
        <v>6</v>
      </c>
      <c r="R96" s="7">
        <f t="shared" si="63"/>
        <v>6</v>
      </c>
      <c r="S96" s="7">
        <v>0</v>
      </c>
      <c r="T96" s="7">
        <v>0</v>
      </c>
      <c r="U96" s="7">
        <f t="shared" si="53"/>
        <v>21.6</v>
      </c>
      <c r="V96" s="4">
        <v>1.1</v>
      </c>
      <c r="W96" s="7">
        <f t="shared" si="54"/>
        <v>36</v>
      </c>
      <c r="X96" s="4">
        <f t="shared" si="55"/>
        <v>1238.03381363756</v>
      </c>
      <c r="Y96" s="4">
        <f t="shared" si="56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57"/>
        <v>18900</v>
      </c>
      <c r="AE96" s="4">
        <f t="shared" si="58"/>
        <v>693</v>
      </c>
      <c r="AF96" s="4">
        <f t="shared" si="59"/>
        <v>450</v>
      </c>
      <c r="AG96" s="4">
        <v>0.65</v>
      </c>
      <c r="AH96" s="4">
        <f t="shared" si="64"/>
        <v>450</v>
      </c>
    </row>
    <row r="97" customFormat="1" spans="1:34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 t="shared" si="60"/>
        <v>19.5</v>
      </c>
      <c r="P97" s="7">
        <f t="shared" si="61"/>
        <v>6.5</v>
      </c>
      <c r="Q97" s="7">
        <f t="shared" si="62"/>
        <v>6.5</v>
      </c>
      <c r="R97" s="7">
        <f t="shared" si="63"/>
        <v>6.5</v>
      </c>
      <c r="S97" s="7">
        <v>0</v>
      </c>
      <c r="T97" s="7">
        <v>0</v>
      </c>
      <c r="U97" s="7">
        <f t="shared" si="53"/>
        <v>23.4</v>
      </c>
      <c r="V97" s="4">
        <v>1.1</v>
      </c>
      <c r="W97" s="7">
        <f t="shared" si="54"/>
        <v>39</v>
      </c>
      <c r="X97" s="4">
        <f t="shared" si="55"/>
        <v>1476.41735033167</v>
      </c>
      <c r="Y97" s="4">
        <f t="shared" si="56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57"/>
        <v>20475</v>
      </c>
      <c r="AE97" s="4">
        <f t="shared" si="58"/>
        <v>751</v>
      </c>
      <c r="AF97" s="4">
        <f t="shared" si="59"/>
        <v>488</v>
      </c>
      <c r="AG97" s="4">
        <v>0.65</v>
      </c>
      <c r="AH97" s="4">
        <f t="shared" si="64"/>
        <v>488</v>
      </c>
    </row>
    <row r="98" customFormat="1" spans="1:34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 t="shared" si="60"/>
        <v>20.5</v>
      </c>
      <c r="P98" s="7">
        <f t="shared" si="61"/>
        <v>6.83333333333333</v>
      </c>
      <c r="Q98" s="7">
        <f t="shared" si="62"/>
        <v>6.83333333333333</v>
      </c>
      <c r="R98" s="7">
        <f t="shared" si="63"/>
        <v>6.83333333333333</v>
      </c>
      <c r="S98" s="7">
        <v>0</v>
      </c>
      <c r="T98" s="7">
        <v>0</v>
      </c>
      <c r="U98" s="7">
        <f t="shared" si="53"/>
        <v>24.6</v>
      </c>
      <c r="V98" s="4">
        <v>1.2</v>
      </c>
      <c r="W98" s="7">
        <f t="shared" si="54"/>
        <v>41</v>
      </c>
      <c r="X98" s="4">
        <f t="shared" si="55"/>
        <v>3231.80583948089</v>
      </c>
      <c r="Y98" s="4">
        <f t="shared" si="56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7"/>
        <v>21525</v>
      </c>
      <c r="AE98" s="4">
        <f t="shared" si="58"/>
        <v>646</v>
      </c>
      <c r="AF98" s="4">
        <f t="shared" si="59"/>
        <v>420</v>
      </c>
      <c r="AG98" s="4">
        <v>0.65</v>
      </c>
      <c r="AH98" s="4">
        <f t="shared" si="64"/>
        <v>420</v>
      </c>
    </row>
    <row r="99" spans="1:34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 t="shared" si="60"/>
        <v>21.5</v>
      </c>
      <c r="P99" s="7">
        <f t="shared" si="61"/>
        <v>7.16666666666667</v>
      </c>
      <c r="Q99" s="7">
        <f t="shared" si="62"/>
        <v>7.16666666666667</v>
      </c>
      <c r="R99" s="7">
        <f t="shared" si="63"/>
        <v>7.16666666666667</v>
      </c>
      <c r="S99" s="7">
        <v>0</v>
      </c>
      <c r="T99" s="7">
        <v>0</v>
      </c>
      <c r="U99" s="7">
        <f t="shared" si="53"/>
        <v>25.8</v>
      </c>
      <c r="V99" s="4">
        <v>1.2</v>
      </c>
      <c r="W99" s="7">
        <f t="shared" si="54"/>
        <v>43</v>
      </c>
      <c r="X99" s="4">
        <f t="shared" si="55"/>
        <v>3623.16655349159</v>
      </c>
      <c r="Y99" s="4">
        <f t="shared" si="56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7"/>
        <v>22575</v>
      </c>
      <c r="AE99" s="4">
        <f t="shared" si="58"/>
        <v>1355</v>
      </c>
      <c r="AF99" s="4">
        <f t="shared" si="59"/>
        <v>948</v>
      </c>
      <c r="AG99" s="4">
        <v>0.7</v>
      </c>
      <c r="AH99" s="4">
        <f t="shared" si="64"/>
        <v>948</v>
      </c>
    </row>
    <row r="100" spans="1:34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 t="shared" si="60"/>
        <v>22.5</v>
      </c>
      <c r="P100" s="7">
        <f t="shared" si="61"/>
        <v>7.5</v>
      </c>
      <c r="Q100" s="7">
        <f t="shared" si="62"/>
        <v>7.5</v>
      </c>
      <c r="R100" s="7">
        <f t="shared" si="63"/>
        <v>7.5</v>
      </c>
      <c r="S100" s="7">
        <v>0</v>
      </c>
      <c r="T100" s="7">
        <v>0</v>
      </c>
      <c r="U100" s="7">
        <f t="shared" si="53"/>
        <v>27</v>
      </c>
      <c r="V100" s="4">
        <v>1.2</v>
      </c>
      <c r="W100" s="7">
        <f t="shared" si="54"/>
        <v>45</v>
      </c>
      <c r="X100" s="4">
        <f t="shared" si="55"/>
        <v>4040.86217878537</v>
      </c>
      <c r="Y100" s="4">
        <f t="shared" si="56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7"/>
        <v>23625</v>
      </c>
      <c r="AE100" s="4">
        <f t="shared" si="58"/>
        <v>1418</v>
      </c>
      <c r="AF100" s="4">
        <f t="shared" si="59"/>
        <v>992</v>
      </c>
      <c r="AG100" s="4">
        <v>0.7</v>
      </c>
      <c r="AH100" s="4">
        <f t="shared" si="64"/>
        <v>992</v>
      </c>
    </row>
    <row r="101" spans="1:34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si="60"/>
        <v>24</v>
      </c>
      <c r="P101" s="7">
        <f t="shared" si="61"/>
        <v>8</v>
      </c>
      <c r="Q101" s="7">
        <f t="shared" si="62"/>
        <v>8</v>
      </c>
      <c r="R101" s="7">
        <f t="shared" si="63"/>
        <v>8</v>
      </c>
      <c r="S101" s="7">
        <v>0</v>
      </c>
      <c r="T101" s="7">
        <v>0</v>
      </c>
      <c r="U101" s="7">
        <f t="shared" si="53"/>
        <v>28.8</v>
      </c>
      <c r="V101" s="4">
        <v>1.2</v>
      </c>
      <c r="W101" s="7">
        <f t="shared" si="54"/>
        <v>48</v>
      </c>
      <c r="X101" s="4">
        <f t="shared" si="55"/>
        <v>4717.83746552652</v>
      </c>
      <c r="Y101" s="4">
        <f t="shared" si="56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7"/>
        <v>25200</v>
      </c>
      <c r="AE101" s="4">
        <f t="shared" si="58"/>
        <v>1512</v>
      </c>
      <c r="AF101" s="4">
        <f t="shared" si="59"/>
        <v>1134</v>
      </c>
      <c r="AG101" s="4">
        <v>0.75</v>
      </c>
      <c r="AH101" s="4">
        <f t="shared" si="64"/>
        <v>1134</v>
      </c>
    </row>
    <row r="102" spans="1:34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60"/>
        <v>25</v>
      </c>
      <c r="P102" s="7">
        <f t="shared" si="61"/>
        <v>8.33333333333333</v>
      </c>
      <c r="Q102" s="7">
        <f t="shared" si="62"/>
        <v>8.33333333333333</v>
      </c>
      <c r="R102" s="7">
        <f t="shared" si="63"/>
        <v>8.33333333333333</v>
      </c>
      <c r="S102" s="7">
        <v>0</v>
      </c>
      <c r="T102" s="7">
        <v>0</v>
      </c>
      <c r="U102" s="7">
        <f t="shared" si="53"/>
        <v>30</v>
      </c>
      <c r="V102" s="4">
        <v>1.2</v>
      </c>
      <c r="W102" s="7">
        <f t="shared" si="54"/>
        <v>50</v>
      </c>
      <c r="X102" s="4">
        <f t="shared" si="55"/>
        <v>5203.45754626171</v>
      </c>
      <c r="Y102" s="4">
        <f t="shared" si="56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7"/>
        <v>26250</v>
      </c>
      <c r="AE102" s="4">
        <f t="shared" si="58"/>
        <v>1575</v>
      </c>
      <c r="AF102" s="4">
        <f t="shared" si="59"/>
        <v>1181</v>
      </c>
      <c r="AG102" s="4">
        <v>0.75</v>
      </c>
      <c r="AH102" s="4">
        <f t="shared" si="64"/>
        <v>1181</v>
      </c>
    </row>
    <row r="103" spans="1:34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60"/>
        <v>26</v>
      </c>
      <c r="P103" s="7">
        <f t="shared" si="61"/>
        <v>8.66666666666667</v>
      </c>
      <c r="Q103" s="7">
        <f t="shared" si="62"/>
        <v>8.66666666666667</v>
      </c>
      <c r="R103" s="7">
        <f t="shared" si="63"/>
        <v>8.66666666666667</v>
      </c>
      <c r="S103" s="7">
        <v>0</v>
      </c>
      <c r="T103" s="7">
        <v>0</v>
      </c>
      <c r="U103" s="7">
        <f t="shared" si="53"/>
        <v>31.2</v>
      </c>
      <c r="V103" s="4">
        <v>1.3</v>
      </c>
      <c r="W103" s="7">
        <f t="shared" si="54"/>
        <v>52</v>
      </c>
      <c r="X103" s="4">
        <f t="shared" si="55"/>
        <v>11756.2739890575</v>
      </c>
      <c r="Y103" s="4">
        <f t="shared" si="56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7"/>
        <v>27300</v>
      </c>
      <c r="AE103" s="4">
        <f t="shared" si="58"/>
        <v>887</v>
      </c>
      <c r="AF103" s="4">
        <f t="shared" si="59"/>
        <v>710</v>
      </c>
      <c r="AG103" s="4">
        <v>0.8</v>
      </c>
      <c r="AH103" s="4">
        <f t="shared" si="64"/>
        <v>710</v>
      </c>
    </row>
    <row r="104" spans="1:34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4</v>
      </c>
      <c r="O104" s="4">
        <f t="shared" si="60"/>
        <v>27</v>
      </c>
      <c r="P104" s="7">
        <f t="shared" si="61"/>
        <v>9</v>
      </c>
      <c r="Q104" s="7">
        <f t="shared" si="62"/>
        <v>9</v>
      </c>
      <c r="R104" s="7">
        <f t="shared" si="63"/>
        <v>9</v>
      </c>
      <c r="S104" s="7">
        <v>0</v>
      </c>
      <c r="T104" s="7">
        <v>0</v>
      </c>
      <c r="U104" s="7">
        <f t="shared" si="53"/>
        <v>32.4</v>
      </c>
      <c r="V104" s="4">
        <v>1.3</v>
      </c>
      <c r="W104" s="7">
        <f t="shared" si="54"/>
        <v>54</v>
      </c>
      <c r="X104" s="4">
        <f t="shared" si="55"/>
        <v>12968.3517348442</v>
      </c>
      <c r="Y104" s="4">
        <f t="shared" si="56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7"/>
        <v>28350</v>
      </c>
      <c r="AE104" s="4">
        <f t="shared" si="58"/>
        <v>1843</v>
      </c>
      <c r="AF104" s="4">
        <f t="shared" si="59"/>
        <v>1474</v>
      </c>
      <c r="AG104" s="4">
        <v>0.8</v>
      </c>
      <c r="AH104" s="4">
        <f t="shared" si="64"/>
        <v>1474</v>
      </c>
    </row>
    <row r="105" spans="1:34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4</v>
      </c>
      <c r="O105" s="4">
        <f t="shared" si="60"/>
        <v>28.5</v>
      </c>
      <c r="P105" s="7">
        <f t="shared" si="61"/>
        <v>9.5</v>
      </c>
      <c r="Q105" s="7">
        <f t="shared" si="62"/>
        <v>9.5</v>
      </c>
      <c r="R105" s="7">
        <f t="shared" si="63"/>
        <v>9.5</v>
      </c>
      <c r="S105" s="7">
        <v>0</v>
      </c>
      <c r="T105" s="7">
        <v>0</v>
      </c>
      <c r="U105" s="7">
        <f t="shared" si="53"/>
        <v>34.2</v>
      </c>
      <c r="V105" s="4">
        <v>1.3</v>
      </c>
      <c r="W105" s="7">
        <f t="shared" si="54"/>
        <v>57</v>
      </c>
      <c r="X105" s="4">
        <f t="shared" si="55"/>
        <v>14925.7316918978</v>
      </c>
      <c r="Y105" s="4">
        <f t="shared" si="56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7"/>
        <v>29925</v>
      </c>
      <c r="AE105" s="4">
        <f t="shared" si="58"/>
        <v>1945</v>
      </c>
      <c r="AF105" s="4">
        <f t="shared" si="59"/>
        <v>1653</v>
      </c>
      <c r="AG105" s="4">
        <v>0.85</v>
      </c>
      <c r="AH105" s="4">
        <f t="shared" si="64"/>
        <v>1653</v>
      </c>
    </row>
    <row r="106" spans="1:34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4</v>
      </c>
      <c r="O106" s="4">
        <f t="shared" si="60"/>
        <v>29.5</v>
      </c>
      <c r="P106" s="7">
        <f t="shared" si="61"/>
        <v>9.83333333333333</v>
      </c>
      <c r="Q106" s="7">
        <f t="shared" si="62"/>
        <v>9.83333333333333</v>
      </c>
      <c r="R106" s="7">
        <f t="shared" si="63"/>
        <v>9.83333333333333</v>
      </c>
      <c r="S106" s="7">
        <v>0</v>
      </c>
      <c r="T106" s="7">
        <v>0</v>
      </c>
      <c r="U106" s="7">
        <f t="shared" si="53"/>
        <v>35.4</v>
      </c>
      <c r="V106" s="4">
        <v>1.3</v>
      </c>
      <c r="W106" s="7">
        <f t="shared" si="54"/>
        <v>59</v>
      </c>
      <c r="X106" s="4">
        <f t="shared" si="55"/>
        <v>16325.8663137191</v>
      </c>
      <c r="Y106" s="4">
        <f t="shared" si="56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7"/>
        <v>30975</v>
      </c>
      <c r="AE106" s="4">
        <f t="shared" si="58"/>
        <v>2013</v>
      </c>
      <c r="AF106" s="4">
        <f t="shared" si="59"/>
        <v>1711</v>
      </c>
      <c r="AG106" s="4">
        <v>0.85</v>
      </c>
      <c r="AH106" s="4">
        <f t="shared" si="64"/>
        <v>1711</v>
      </c>
    </row>
    <row r="107" spans="1:34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4</v>
      </c>
      <c r="O107" s="4">
        <f t="shared" si="60"/>
        <v>30.5</v>
      </c>
      <c r="P107" s="7">
        <f t="shared" si="61"/>
        <v>10.1666666666667</v>
      </c>
      <c r="Q107" s="7">
        <f t="shared" si="62"/>
        <v>10.1666666666667</v>
      </c>
      <c r="R107" s="7">
        <f t="shared" si="63"/>
        <v>10.1666666666667</v>
      </c>
      <c r="S107" s="7">
        <v>0</v>
      </c>
      <c r="T107" s="7">
        <v>0</v>
      </c>
      <c r="U107" s="7">
        <f t="shared" si="53"/>
        <v>36.6</v>
      </c>
      <c r="V107" s="4">
        <v>1.3</v>
      </c>
      <c r="W107" s="7">
        <f t="shared" si="54"/>
        <v>61</v>
      </c>
      <c r="X107" s="4">
        <f t="shared" si="55"/>
        <v>17804.0406285418</v>
      </c>
      <c r="Y107" s="4">
        <f t="shared" si="56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7"/>
        <v>32025</v>
      </c>
      <c r="AE107" s="4">
        <f t="shared" si="58"/>
        <v>2082</v>
      </c>
      <c r="AF107" s="4">
        <f t="shared" si="59"/>
        <v>1873</v>
      </c>
      <c r="AG107" s="4">
        <v>0.9</v>
      </c>
      <c r="AH107" s="4">
        <f t="shared" si="64"/>
        <v>1873</v>
      </c>
    </row>
    <row r="108" spans="1:34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4</v>
      </c>
      <c r="O108" s="4">
        <f t="shared" si="60"/>
        <v>31.5</v>
      </c>
      <c r="P108" s="7">
        <f t="shared" si="61"/>
        <v>10.5</v>
      </c>
      <c r="Q108" s="7">
        <f t="shared" si="62"/>
        <v>10.5</v>
      </c>
      <c r="R108" s="7">
        <f t="shared" si="63"/>
        <v>10.5</v>
      </c>
      <c r="S108" s="7">
        <v>0</v>
      </c>
      <c r="T108" s="7">
        <v>0</v>
      </c>
      <c r="U108" s="7">
        <f t="shared" si="53"/>
        <v>37.8</v>
      </c>
      <c r="V108" s="4">
        <v>1.4</v>
      </c>
      <c r="W108" s="7">
        <f t="shared" si="54"/>
        <v>63</v>
      </c>
      <c r="X108" s="4">
        <f t="shared" si="55"/>
        <v>41372.4790332195</v>
      </c>
      <c r="Y108" s="4">
        <f t="shared" si="56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7"/>
        <v>33075</v>
      </c>
      <c r="AE108" s="4">
        <f t="shared" si="58"/>
        <v>1158</v>
      </c>
      <c r="AF108" s="4">
        <f t="shared" si="59"/>
        <v>1158</v>
      </c>
      <c r="AG108" s="4">
        <v>1</v>
      </c>
      <c r="AH108" s="4">
        <f t="shared" si="64"/>
        <v>1158</v>
      </c>
    </row>
    <row r="109" spans="15:16">
      <c r="O109" s="4"/>
      <c r="P109" s="4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11"/>
  <sheetViews>
    <sheetView workbookViewId="0">
      <selection activeCell="P2" sqref="P2:R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0" width="12.8888888888889"/>
    <col min="21" max="21" width="14.0277777777778" customWidth="1"/>
    <col min="24" max="24" width="12.8888888888889"/>
    <col min="29" max="29" width="8.88888888888889" style="7"/>
    <col min="30" max="30" width="12.8888888888889"/>
    <col min="35" max="35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801</v>
      </c>
      <c r="Y1" s="7">
        <v>3</v>
      </c>
      <c r="Z1" s="4">
        <v>802</v>
      </c>
      <c r="AA1" s="7">
        <v>803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21" si="0">ROUNDDOWN((B2-M2)/$X$6,0)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801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>
        <v>0</v>
      </c>
      <c r="N2" s="7">
        <f>IF(A2&lt;5,$X$1,IF(A2&gt;10,$AA$1,$Z$1))</f>
        <v>801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21" si="7">SUM(J2,L2)+15</f>
        <v>25</v>
      </c>
      <c r="V2" s="7">
        <v>2</v>
      </c>
      <c r="W2" s="4" t="s">
        <v>577</v>
      </c>
      <c r="X2" s="8">
        <v>805</v>
      </c>
      <c r="Y2" s="4">
        <v>5</v>
      </c>
      <c r="AA2" s="7"/>
      <c r="AB2" s="4">
        <v>70</v>
      </c>
      <c r="AC2" s="7">
        <v>50</v>
      </c>
    </row>
    <row r="3" spans="1:27">
      <c r="A3" s="7">
        <v>2</v>
      </c>
      <c r="B3" s="7">
        <f>B2+$AB$2</f>
        <v>170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801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>
        <v>0</v>
      </c>
      <c r="N3" s="7">
        <f>IF(A3&lt;5,$X$1,IF(A3&gt;10,$AA$1,$Z$1))</f>
        <v>801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806</v>
      </c>
      <c r="Y3" s="7">
        <v>10</v>
      </c>
      <c r="AA3" s="7"/>
    </row>
    <row r="4" spans="1:27">
      <c r="A4" s="7">
        <v>3</v>
      </c>
      <c r="B4" s="7">
        <f>B3+$AB$2</f>
        <v>240</v>
      </c>
      <c r="C4" s="7">
        <f t="shared" si="0"/>
        <v>6</v>
      </c>
      <c r="D4" s="7">
        <v>1</v>
      </c>
      <c r="E4" s="7">
        <f t="shared" si="1"/>
        <v>1.5</v>
      </c>
      <c r="F4" s="7">
        <f t="shared" si="2"/>
        <v>5</v>
      </c>
      <c r="G4" s="7">
        <f t="shared" si="3"/>
        <v>3.75</v>
      </c>
      <c r="H4" s="7">
        <v>1</v>
      </c>
      <c r="I4" s="7">
        <f>IF(A4&lt;5,$X$1,IF(A4&gt;10,$AA$1,$Z$1))</f>
        <v>801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>
        <v>0</v>
      </c>
      <c r="N4" s="7">
        <f>IF(A4&lt;5,$X$1,IF(A4&gt;10,$AA$1,$Z$1))</f>
        <v>801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f>B4+$AB$2</f>
        <v>310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>IF(A5&lt;5,$X$1,IF(A5&gt;10,$AA$1,$Z$1))</f>
        <v>801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>
        <v>0</v>
      </c>
      <c r="N5" s="7">
        <f>IF(A5&lt;5,$X$1,IF(A5&gt;10,$AA$1,$Z$1))</f>
        <v>801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</f>
        <v>380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>IF(A6&lt;5,$X$1,IF(A6&gt;10,$AA$1,$Z$1))</f>
        <v>802</v>
      </c>
      <c r="J6" s="7">
        <v>5</v>
      </c>
      <c r="K6" s="7">
        <f>IF(H6=1,"",INDEX($X$1:$X$3,MATCH(H6,$V$1:$V$3,0)))</f>
        <v>805</v>
      </c>
      <c r="L6" s="7">
        <f t="shared" si="4"/>
        <v>5</v>
      </c>
      <c r="M6" s="7">
        <v>0</v>
      </c>
      <c r="N6" s="7">
        <f>IF(A6&lt;5,$X$1,IF(A6&gt;10,$AA$1,$Z$1))</f>
        <v>802</v>
      </c>
      <c r="O6" s="7">
        <v>5</v>
      </c>
      <c r="P6" s="7">
        <f>IF(H6=1,"",INDEX($X$1:$X$3,MATCH(H6,$V$1:$V$3,0)))</f>
        <v>805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f>B6+$AB$2</f>
        <v>450</v>
      </c>
      <c r="C7" s="7">
        <f t="shared" si="0"/>
        <v>11</v>
      </c>
      <c r="D7" s="7">
        <v>2</v>
      </c>
      <c r="E7" s="7">
        <f t="shared" si="1"/>
        <v>2.25</v>
      </c>
      <c r="F7" s="7">
        <f t="shared" si="2"/>
        <v>9</v>
      </c>
      <c r="G7" s="7">
        <f t="shared" si="3"/>
        <v>10.125</v>
      </c>
      <c r="H7" s="7">
        <v>1</v>
      </c>
      <c r="I7" s="7">
        <f>IF(A7&lt;5,$X$1,IF(A7&gt;10,$AA$1,$Z$1))</f>
        <v>802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>
        <v>0</v>
      </c>
      <c r="N7" s="7">
        <f>IF(A7&lt;5,$X$1,IF(A7&gt;10,$AA$1,$Z$1))</f>
        <v>802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f>B7+$AB$2</f>
        <v>520</v>
      </c>
      <c r="C8" s="7">
        <f t="shared" si="0"/>
        <v>13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802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>
        <v>0</v>
      </c>
      <c r="N8" s="7">
        <f>IF(A8&lt;5,$X$1,IF(A8&gt;10,$AA$1,$Z$1))</f>
        <v>802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f>B8+$AB$2</f>
        <v>590</v>
      </c>
      <c r="C9" s="7">
        <f t="shared" si="0"/>
        <v>14</v>
      </c>
      <c r="D9" s="7">
        <v>3</v>
      </c>
      <c r="E9" s="7">
        <f t="shared" si="1"/>
        <v>3</v>
      </c>
      <c r="F9" s="7">
        <f t="shared" si="2"/>
        <v>11</v>
      </c>
      <c r="G9" s="7">
        <f t="shared" si="3"/>
        <v>16.5</v>
      </c>
      <c r="H9" s="7">
        <v>1</v>
      </c>
      <c r="I9" s="7">
        <f>IF(A9&lt;5,$X$1,IF(A9&gt;10,$AA$1,$Z$1))</f>
        <v>802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>
        <v>0</v>
      </c>
      <c r="N9" s="7">
        <f>IF(A9&lt;5,$X$1,IF(A9&gt;10,$AA$1,$Z$1))</f>
        <v>802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f>B9+$AB$2</f>
        <v>660</v>
      </c>
      <c r="C10" s="7">
        <f t="shared" si="0"/>
        <v>16</v>
      </c>
      <c r="D10" s="7">
        <v>4</v>
      </c>
      <c r="E10" s="7">
        <f t="shared" si="1"/>
        <v>3.75</v>
      </c>
      <c r="F10" s="7">
        <f t="shared" si="2"/>
        <v>13</v>
      </c>
      <c r="G10" s="7">
        <f t="shared" si="3"/>
        <v>24.375</v>
      </c>
      <c r="H10" s="7">
        <v>1</v>
      </c>
      <c r="I10" s="7">
        <f>IF(A10&lt;5,$X$1,IF(A10&gt;10,$AA$1,$Z$1))</f>
        <v>802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>
        <v>0</v>
      </c>
      <c r="N10" s="7">
        <f>IF(A10&lt;5,$X$1,IF(A10&gt;10,$AA$1,$Z$1))</f>
        <v>802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f>B10+$AB$2+20</f>
        <v>750</v>
      </c>
      <c r="C11" s="7">
        <f t="shared" si="0"/>
        <v>18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>IF(A11&lt;5,$X$1,IF(A11&gt;10,$AA$1,$Z$1))</f>
        <v>802</v>
      </c>
      <c r="J11" s="7">
        <v>10</v>
      </c>
      <c r="K11" s="7">
        <f>IF(H11=1,"",INDEX($X$1:$X$3,MATCH(H11,$V$1:$V$3,0)))</f>
        <v>806</v>
      </c>
      <c r="L11" s="7">
        <f t="shared" si="4"/>
        <v>1</v>
      </c>
      <c r="M11" s="7">
        <v>0</v>
      </c>
      <c r="N11" s="7">
        <f>IF(A11&lt;5,$X$1,IF(A11&gt;10,$AA$1,$Z$1))</f>
        <v>802</v>
      </c>
      <c r="O11" s="7">
        <v>10</v>
      </c>
      <c r="P11" s="7">
        <f>IF(H11=1,"",INDEX($X$1:$X$3,MATCH(H11,$V$1:$V$3,0)))</f>
        <v>806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f>B11+$AB$2+20</f>
        <v>840</v>
      </c>
      <c r="C12" s="7">
        <f t="shared" si="0"/>
        <v>21</v>
      </c>
      <c r="D12" s="7">
        <v>5</v>
      </c>
      <c r="E12" s="7"/>
      <c r="F12" s="7">
        <f t="shared" si="2"/>
        <v>17</v>
      </c>
      <c r="G12" s="7">
        <f t="shared" ref="G12:G14" si="10">($G$15-$G$11)/4+G11</f>
        <v>42.45</v>
      </c>
      <c r="H12" s="7">
        <v>1</v>
      </c>
      <c r="I12" s="7">
        <f>IF(A12&lt;5,$X$1,IF(A12&gt;10,$AA$1,$Z$1))</f>
        <v>803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>
        <v>0</v>
      </c>
      <c r="N12" s="7">
        <f>IF(A12&lt;5,$X$1,IF(A12&gt;10,$AA$1,$Z$1))</f>
        <v>803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>B12+$AB$2+20</f>
        <v>930</v>
      </c>
      <c r="C13" s="7">
        <f t="shared" si="0"/>
        <v>23</v>
      </c>
      <c r="D13" s="7">
        <v>8</v>
      </c>
      <c r="E13" s="7"/>
      <c r="F13" s="7">
        <f t="shared" si="2"/>
        <v>18</v>
      </c>
      <c r="G13" s="7">
        <f t="shared" si="10"/>
        <v>49.9</v>
      </c>
      <c r="H13" s="7">
        <v>1</v>
      </c>
      <c r="I13" s="7">
        <f>IF(A13&lt;5,$X$1,IF(A13&gt;10,$AA$1,$Z$1))</f>
        <v>803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>
        <v>0</v>
      </c>
      <c r="N13" s="7">
        <f>IF(A13&lt;5,$X$1,IF(A13&gt;10,$AA$1,$Z$1))</f>
        <v>803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>B13+$AB$2+20</f>
        <v>1020</v>
      </c>
      <c r="C14" s="7">
        <f t="shared" si="0"/>
        <v>25</v>
      </c>
      <c r="D14" s="7">
        <v>9</v>
      </c>
      <c r="E14" s="7"/>
      <c r="F14" s="7">
        <f t="shared" si="2"/>
        <v>20</v>
      </c>
      <c r="G14" s="7">
        <f t="shared" si="10"/>
        <v>57.35</v>
      </c>
      <c r="H14" s="7">
        <v>1</v>
      </c>
      <c r="I14" s="7">
        <f>IF(A14&lt;5,$X$1,IF(A14&gt;10,$AA$1,$Z$1))</f>
        <v>803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>
        <v>0</v>
      </c>
      <c r="N14" s="7">
        <f>IF(A14&lt;5,$X$1,IF(A14&gt;10,$AA$1,$Z$1))</f>
        <v>803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f>B14+$AB$2+20</f>
        <v>1110</v>
      </c>
      <c r="C15" s="7">
        <f t="shared" si="0"/>
        <v>27</v>
      </c>
      <c r="D15" s="7">
        <v>10</v>
      </c>
      <c r="E15" s="7"/>
      <c r="F15" s="7">
        <f t="shared" si="2"/>
        <v>22</v>
      </c>
      <c r="G15" s="7">
        <f>G31*0.2</f>
        <v>64.8</v>
      </c>
      <c r="H15" s="7">
        <v>1</v>
      </c>
      <c r="I15" s="7">
        <f>IF(A15&lt;5,$X$1,IF(A15&gt;10,$AA$1,$Z$1))</f>
        <v>803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>
        <v>0</v>
      </c>
      <c r="N15" s="7">
        <f>IF(A15&lt;5,$X$1,IF(A15&gt;10,$AA$1,$Z$1))</f>
        <v>803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f>B15+$AB$2+20</f>
        <v>1200</v>
      </c>
      <c r="C16" s="7">
        <f t="shared" si="0"/>
        <v>30</v>
      </c>
      <c r="D16" s="7">
        <v>11</v>
      </c>
      <c r="E16" s="7"/>
      <c r="F16" s="7">
        <f t="shared" si="2"/>
        <v>24</v>
      </c>
      <c r="G16" s="7">
        <f t="shared" ref="G16:G19" si="11">($G$20-$G$15)/5+G15</f>
        <v>77.76</v>
      </c>
      <c r="H16" s="7">
        <v>2</v>
      </c>
      <c r="I16" s="7">
        <f>IF(A16&lt;5,$X$1,IF(A16&gt;10,$AA$1,$Z$1))</f>
        <v>803</v>
      </c>
      <c r="J16" s="7">
        <v>10</v>
      </c>
      <c r="K16" s="7">
        <f>IF(H16=1,"",INDEX($X$1:$X$3,MATCH(H16,$V$1:$V$3,0)))</f>
        <v>805</v>
      </c>
      <c r="L16" s="7">
        <f t="shared" si="4"/>
        <v>5</v>
      </c>
      <c r="M16" s="7">
        <v>0</v>
      </c>
      <c r="N16" s="7">
        <f>IF(A16&lt;5,$X$1,IF(A16&gt;10,$AA$1,$Z$1))</f>
        <v>803</v>
      </c>
      <c r="O16" s="7">
        <v>10</v>
      </c>
      <c r="P16" s="7">
        <f>IF(H16=1,"",INDEX($X$1:$X$3,MATCH(H16,$V$1:$V$3,0)))</f>
        <v>805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f>B16+$AB$2+20</f>
        <v>1290</v>
      </c>
      <c r="C17" s="7">
        <f t="shared" si="0"/>
        <v>32</v>
      </c>
      <c r="D17" s="7">
        <v>12</v>
      </c>
      <c r="E17" s="7"/>
      <c r="F17" s="7">
        <f t="shared" si="2"/>
        <v>26</v>
      </c>
      <c r="G17" s="7">
        <f t="shared" si="11"/>
        <v>90.72</v>
      </c>
      <c r="H17" s="7">
        <v>1</v>
      </c>
      <c r="I17" s="7">
        <f>IF(A17&lt;5,$X$1,IF(A17&gt;10,$AA$1,$Z$1))</f>
        <v>803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>
        <v>0</v>
      </c>
      <c r="N17" s="7">
        <f>IF(A17&lt;5,$X$1,IF(A17&gt;10,$AA$1,$Z$1))</f>
        <v>803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f>B17+$AB$2+20</f>
        <v>1380</v>
      </c>
      <c r="C18" s="7">
        <f t="shared" si="0"/>
        <v>34</v>
      </c>
      <c r="D18" s="7">
        <v>13</v>
      </c>
      <c r="E18" s="7"/>
      <c r="F18" s="7">
        <f t="shared" si="2"/>
        <v>27</v>
      </c>
      <c r="G18" s="7">
        <f t="shared" si="11"/>
        <v>103.68</v>
      </c>
      <c r="H18" s="7">
        <v>1</v>
      </c>
      <c r="I18" s="7">
        <f>IF(A18&lt;5,$X$1,IF(A18&gt;10,$AA$1,$Z$1))</f>
        <v>803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>
        <v>0</v>
      </c>
      <c r="N18" s="7">
        <f>IF(A18&lt;5,$X$1,IF(A18&gt;10,$AA$1,$Z$1))</f>
        <v>803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f>B18+$AB$2+20</f>
        <v>1470</v>
      </c>
      <c r="C19" s="7">
        <f t="shared" si="0"/>
        <v>36</v>
      </c>
      <c r="D19" s="7">
        <v>14</v>
      </c>
      <c r="E19" s="7"/>
      <c r="F19" s="7">
        <f t="shared" si="2"/>
        <v>29</v>
      </c>
      <c r="G19" s="7">
        <f t="shared" si="11"/>
        <v>116.64</v>
      </c>
      <c r="H19" s="7">
        <v>1</v>
      </c>
      <c r="I19" s="7">
        <f>IF(A19&lt;5,$X$1,IF(A19&gt;10,$AA$1,$Z$1))</f>
        <v>803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>
        <v>0</v>
      </c>
      <c r="N19" s="7">
        <f>IF(A19&lt;5,$X$1,IF(A19&gt;10,$AA$1,$Z$1))</f>
        <v>803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f>B19+$AB$2+20</f>
        <v>1560</v>
      </c>
      <c r="C20" s="7">
        <f t="shared" si="0"/>
        <v>39</v>
      </c>
      <c r="D20" s="7">
        <v>15</v>
      </c>
      <c r="E20" s="7"/>
      <c r="F20" s="7">
        <f t="shared" si="2"/>
        <v>31</v>
      </c>
      <c r="G20" s="7">
        <f>G31*0.4</f>
        <v>129.6</v>
      </c>
      <c r="H20" s="7">
        <v>1</v>
      </c>
      <c r="I20" s="7">
        <f>IF(A20&lt;5,$X$1,IF(A20&gt;10,$AA$1,$Z$1))</f>
        <v>803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>
        <v>0</v>
      </c>
      <c r="N20" s="7">
        <f>IF(A20&lt;5,$X$1,IF(A20&gt;10,$AA$1,$Z$1))</f>
        <v>803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f>B20+$AB$2+30</f>
        <v>1660</v>
      </c>
      <c r="C21" s="7">
        <f t="shared" si="0"/>
        <v>41</v>
      </c>
      <c r="D21" s="7">
        <v>16</v>
      </c>
      <c r="E21" s="7"/>
      <c r="F21" s="7">
        <f t="shared" si="2"/>
        <v>33</v>
      </c>
      <c r="G21" s="7">
        <f t="shared" ref="G21:G24" si="12">($G$25-$G$20)/5+G20</f>
        <v>142.56</v>
      </c>
      <c r="H21" s="7">
        <v>3</v>
      </c>
      <c r="I21" s="7">
        <f>IF(A21&lt;5,$X$1,IF(A21&gt;10,$AA$1,$Z$1))</f>
        <v>803</v>
      </c>
      <c r="J21" s="7">
        <v>15</v>
      </c>
      <c r="K21" s="7">
        <f>IF(H21=1,"",INDEX($X$1:$X$3,MATCH(H21,$V$1:$V$3,0)))</f>
        <v>806</v>
      </c>
      <c r="L21" s="7">
        <f t="shared" si="4"/>
        <v>1</v>
      </c>
      <c r="M21" s="7">
        <v>0</v>
      </c>
      <c r="N21" s="7">
        <f>IF(A21&lt;5,$X$1,IF(A21&gt;10,$AA$1,$Z$1))</f>
        <v>803</v>
      </c>
      <c r="O21" s="7">
        <v>15</v>
      </c>
      <c r="P21" s="7">
        <f>IF(H21=1,"",INDEX($X$1:$X$3,MATCH(H21,$V$1:$V$3,0)))</f>
        <v>806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>
        <f t="shared" ref="B22:B31" si="13">B21+$AB$2+30</f>
        <v>1760</v>
      </c>
      <c r="C22" s="7">
        <f t="shared" ref="C22:C33" si="14">ROUNDDOWN(B22/$X$6,0)</f>
        <v>44</v>
      </c>
      <c r="D22" s="7">
        <v>17</v>
      </c>
      <c r="E22" s="7"/>
      <c r="F22" s="7">
        <f t="shared" si="2"/>
        <v>35</v>
      </c>
      <c r="G22" s="7">
        <f t="shared" si="12"/>
        <v>155.52</v>
      </c>
      <c r="H22" s="7">
        <v>1</v>
      </c>
      <c r="I22" s="7">
        <f>IF(A22&lt;5,$X$1,IF(A22&gt;10,$AA$1,$Z$1))</f>
        <v>803</v>
      </c>
      <c r="J22" s="7">
        <v>20</v>
      </c>
      <c r="K22" s="7" t="str">
        <f>IF(H22=1,"",INDEX($X$1:$X$3,MATCH(H22,$V$1:$V$3,0)))</f>
        <v/>
      </c>
      <c r="L22" s="7" t="str">
        <f t="shared" si="4"/>
        <v/>
      </c>
      <c r="M22" s="7">
        <v>0</v>
      </c>
      <c r="N22" s="7">
        <f>IF(A22&lt;5,$X$1,IF(A22&gt;10,$AA$1,$Z$1))</f>
        <v>803</v>
      </c>
      <c r="O22" s="7">
        <v>20</v>
      </c>
      <c r="P22" s="7" t="str">
        <f>IF(H22=1,"",INDEX($X$1:$X$3,MATCH(H22,$V$1:$V$3,0)))</f>
        <v/>
      </c>
      <c r="Q22" s="7" t="str">
        <f t="shared" si="5"/>
        <v/>
      </c>
      <c r="R22" s="7"/>
      <c r="S22" s="7">
        <f t="shared" si="6"/>
        <v>40</v>
      </c>
      <c r="T22" s="7"/>
      <c r="U22" s="7"/>
      <c r="V22" s="7"/>
      <c r="Y22" s="4"/>
      <c r="AA22" s="7"/>
    </row>
    <row r="23" spans="1:27">
      <c r="A23" s="7">
        <v>22</v>
      </c>
      <c r="B23" s="7">
        <f t="shared" si="13"/>
        <v>1860</v>
      </c>
      <c r="C23" s="7">
        <f t="shared" si="14"/>
        <v>46</v>
      </c>
      <c r="D23" s="7">
        <v>20</v>
      </c>
      <c r="E23" s="7"/>
      <c r="F23" s="7">
        <f t="shared" si="2"/>
        <v>37</v>
      </c>
      <c r="G23" s="7">
        <f t="shared" si="12"/>
        <v>168.48</v>
      </c>
      <c r="H23" s="7">
        <v>1</v>
      </c>
      <c r="I23" s="7">
        <f>IF(A23&lt;5,$X$1,IF(A23&gt;10,$AA$1,$Z$1))</f>
        <v>803</v>
      </c>
      <c r="J23" s="7">
        <v>20</v>
      </c>
      <c r="K23" s="7" t="str">
        <f>IF(H23=1,"",INDEX($X$1:$X$3,MATCH(H23,$V$1:$V$3,0)))</f>
        <v/>
      </c>
      <c r="L23" s="7" t="str">
        <f t="shared" si="4"/>
        <v/>
      </c>
      <c r="M23" s="7">
        <v>0</v>
      </c>
      <c r="N23" s="7">
        <f>IF(A23&lt;5,$X$1,IF(A23&gt;10,$AA$1,$Z$1))</f>
        <v>803</v>
      </c>
      <c r="O23" s="7">
        <v>20</v>
      </c>
      <c r="P23" s="7" t="str">
        <f>IF(H23=1,"",INDEX($X$1:$X$3,MATCH(H23,$V$1:$V$3,0)))</f>
        <v/>
      </c>
      <c r="Q23" s="7" t="str">
        <f t="shared" si="5"/>
        <v/>
      </c>
      <c r="R23" s="7"/>
      <c r="S23" s="7">
        <f t="shared" si="6"/>
        <v>40</v>
      </c>
      <c r="T23" s="7"/>
      <c r="U23" s="7"/>
      <c r="V23" s="7"/>
      <c r="Y23" s="4"/>
      <c r="AA23" s="7"/>
    </row>
    <row r="24" spans="1:27">
      <c r="A24" s="7">
        <v>23</v>
      </c>
      <c r="B24" s="7">
        <f t="shared" si="13"/>
        <v>1960</v>
      </c>
      <c r="C24" s="7">
        <f t="shared" si="14"/>
        <v>49</v>
      </c>
      <c r="D24" s="7">
        <v>21</v>
      </c>
      <c r="E24" s="7"/>
      <c r="F24" s="7">
        <f t="shared" si="2"/>
        <v>39</v>
      </c>
      <c r="G24" s="7">
        <f t="shared" si="12"/>
        <v>181.44</v>
      </c>
      <c r="H24" s="7">
        <v>1</v>
      </c>
      <c r="I24" s="7">
        <f>IF(A24&lt;5,$X$1,IF(A24&gt;10,$AA$1,$Z$1))</f>
        <v>803</v>
      </c>
      <c r="J24" s="7">
        <v>20</v>
      </c>
      <c r="K24" s="7" t="str">
        <f>IF(H24=1,"",INDEX($X$1:$X$3,MATCH(H24,$V$1:$V$3,0)))</f>
        <v/>
      </c>
      <c r="L24" s="7" t="str">
        <f t="shared" si="4"/>
        <v/>
      </c>
      <c r="M24" s="7">
        <v>0</v>
      </c>
      <c r="N24" s="7">
        <f>IF(A24&lt;5,$X$1,IF(A24&gt;10,$AA$1,$Z$1))</f>
        <v>803</v>
      </c>
      <c r="O24" s="7">
        <v>20</v>
      </c>
      <c r="P24" s="7" t="str">
        <f>IF(H24=1,"",INDEX($X$1:$X$3,MATCH(H24,$V$1:$V$3,0)))</f>
        <v/>
      </c>
      <c r="Q24" s="7" t="str">
        <f t="shared" si="5"/>
        <v/>
      </c>
      <c r="R24" s="7"/>
      <c r="S24" s="7">
        <f t="shared" si="6"/>
        <v>40</v>
      </c>
      <c r="T24" s="7"/>
      <c r="U24" s="7"/>
      <c r="V24" s="7"/>
      <c r="Y24" s="4"/>
      <c r="AA24" s="7"/>
    </row>
    <row r="25" spans="1:27">
      <c r="A25" s="7">
        <v>24</v>
      </c>
      <c r="B25" s="7">
        <f t="shared" si="13"/>
        <v>2060</v>
      </c>
      <c r="C25" s="7">
        <f t="shared" si="14"/>
        <v>51</v>
      </c>
      <c r="D25" s="7">
        <v>22</v>
      </c>
      <c r="E25" s="7"/>
      <c r="F25" s="7">
        <f t="shared" si="2"/>
        <v>41</v>
      </c>
      <c r="G25" s="7">
        <f>G31*0.6</f>
        <v>194.4</v>
      </c>
      <c r="H25" s="7">
        <v>1</v>
      </c>
      <c r="I25" s="7">
        <f>IF(A25&lt;5,$X$1,IF(A25&gt;10,$AA$1,$Z$1))</f>
        <v>803</v>
      </c>
      <c r="J25" s="7">
        <v>20</v>
      </c>
      <c r="K25" s="7" t="str">
        <f>IF(H25=1,"",INDEX($X$1:$X$3,MATCH(H25,$V$1:$V$3,0)))</f>
        <v/>
      </c>
      <c r="L25" s="7" t="str">
        <f t="shared" si="4"/>
        <v/>
      </c>
      <c r="M25" s="7">
        <v>0</v>
      </c>
      <c r="N25" s="7">
        <f>IF(A25&lt;5,$X$1,IF(A25&gt;10,$AA$1,$Z$1))</f>
        <v>803</v>
      </c>
      <c r="O25" s="7">
        <v>20</v>
      </c>
      <c r="P25" s="7" t="str">
        <f>IF(H25=1,"",INDEX($X$1:$X$3,MATCH(H25,$V$1:$V$3,0)))</f>
        <v/>
      </c>
      <c r="Q25" s="7" t="str">
        <f t="shared" si="5"/>
        <v/>
      </c>
      <c r="R25" s="7"/>
      <c r="S25" s="7">
        <f t="shared" si="6"/>
        <v>40</v>
      </c>
      <c r="T25" s="7"/>
      <c r="U25" s="7"/>
      <c r="V25" s="7"/>
      <c r="Y25" s="4"/>
      <c r="AA25" s="7"/>
    </row>
    <row r="26" spans="1:27">
      <c r="A26" s="7">
        <v>25</v>
      </c>
      <c r="B26" s="7">
        <f t="shared" si="13"/>
        <v>2160</v>
      </c>
      <c r="C26" s="7">
        <f t="shared" si="14"/>
        <v>54</v>
      </c>
      <c r="D26" s="7">
        <v>23</v>
      </c>
      <c r="E26" s="7"/>
      <c r="F26" s="7">
        <f t="shared" si="2"/>
        <v>43</v>
      </c>
      <c r="G26" s="7">
        <f t="shared" ref="G26:G29" si="15">($G$30-$G$25)/5+G25</f>
        <v>210.6</v>
      </c>
      <c r="H26" s="7">
        <v>2</v>
      </c>
      <c r="I26" s="7">
        <f>IF(A26&lt;5,$X$1,IF(A26&gt;10,$AA$1,$Z$1))</f>
        <v>803</v>
      </c>
      <c r="J26" s="7">
        <v>10</v>
      </c>
      <c r="K26" s="7">
        <f>IF(H26=1,"",INDEX($X$1:$X$3,MATCH(H26,$V$1:$V$3,0)))</f>
        <v>805</v>
      </c>
      <c r="L26" s="7">
        <f t="shared" si="4"/>
        <v>5</v>
      </c>
      <c r="M26" s="7">
        <v>0</v>
      </c>
      <c r="N26" s="7">
        <f>IF(A26&lt;5,$X$1,IF(A26&gt;10,$AA$1,$Z$1))</f>
        <v>803</v>
      </c>
      <c r="O26" s="7">
        <v>10</v>
      </c>
      <c r="P26" s="7">
        <f>IF(H26=1,"",INDEX($X$1:$X$3,MATCH(H26,$V$1:$V$3,0)))</f>
        <v>805</v>
      </c>
      <c r="Q26" s="7">
        <f t="shared" si="5"/>
        <v>5</v>
      </c>
      <c r="R26" s="7"/>
      <c r="S26" s="7">
        <f t="shared" si="6"/>
        <v>30</v>
      </c>
      <c r="T26" s="7"/>
      <c r="U26" s="7"/>
      <c r="V26" s="7"/>
      <c r="Y26" s="4"/>
      <c r="AA26" s="7"/>
    </row>
    <row r="27" spans="1:27">
      <c r="A27" s="7">
        <v>26</v>
      </c>
      <c r="B27" s="7">
        <f t="shared" si="13"/>
        <v>2260</v>
      </c>
      <c r="C27" s="7">
        <f t="shared" si="14"/>
        <v>56</v>
      </c>
      <c r="D27" s="7">
        <v>24</v>
      </c>
      <c r="E27" s="7"/>
      <c r="F27" s="7">
        <f t="shared" si="2"/>
        <v>45</v>
      </c>
      <c r="G27" s="7">
        <f t="shared" si="15"/>
        <v>226.8</v>
      </c>
      <c r="H27" s="7">
        <v>1</v>
      </c>
      <c r="I27" s="7">
        <f>IF(A27&lt;5,$X$1,IF(A27&gt;10,$AA$1,$Z$1))</f>
        <v>803</v>
      </c>
      <c r="J27" s="7">
        <v>20</v>
      </c>
      <c r="K27" s="7" t="str">
        <f>IF(H27=1,"",INDEX($X$1:$X$3,MATCH(H27,$V$1:$V$3,0)))</f>
        <v/>
      </c>
      <c r="L27" s="7" t="str">
        <f t="shared" si="4"/>
        <v/>
      </c>
      <c r="M27" s="7">
        <v>0</v>
      </c>
      <c r="N27" s="7">
        <f>IF(A27&lt;5,$X$1,IF(A27&gt;10,$AA$1,$Z$1))</f>
        <v>803</v>
      </c>
      <c r="O27" s="7">
        <v>20</v>
      </c>
      <c r="P27" s="7" t="str">
        <f>IF(H27=1,"",INDEX($X$1:$X$3,MATCH(H27,$V$1:$V$3,0)))</f>
        <v/>
      </c>
      <c r="Q27" s="7" t="str">
        <f t="shared" si="5"/>
        <v/>
      </c>
      <c r="R27" s="7"/>
      <c r="S27" s="7">
        <f t="shared" si="6"/>
        <v>40</v>
      </c>
      <c r="T27" s="7"/>
      <c r="U27" s="7"/>
      <c r="V27" s="7"/>
      <c r="Y27" s="4"/>
      <c r="AA27" s="7"/>
    </row>
    <row r="28" spans="1:27">
      <c r="A28" s="7">
        <v>27</v>
      </c>
      <c r="B28" s="7">
        <f t="shared" si="13"/>
        <v>2360</v>
      </c>
      <c r="C28" s="7">
        <f t="shared" si="14"/>
        <v>59</v>
      </c>
      <c r="D28" s="7">
        <v>25</v>
      </c>
      <c r="E28" s="7"/>
      <c r="F28" s="7">
        <f t="shared" si="2"/>
        <v>47</v>
      </c>
      <c r="G28" s="7">
        <f t="shared" si="15"/>
        <v>243</v>
      </c>
      <c r="H28" s="7">
        <v>1</v>
      </c>
      <c r="I28" s="7">
        <f>IF(A28&lt;5,$X$1,IF(A28&gt;10,$AA$1,$Z$1))</f>
        <v>803</v>
      </c>
      <c r="J28" s="7">
        <v>20</v>
      </c>
      <c r="K28" s="7" t="str">
        <f>IF(H28=1,"",INDEX($X$1:$X$3,MATCH(H28,$V$1:$V$3,0)))</f>
        <v/>
      </c>
      <c r="L28" s="7" t="str">
        <f t="shared" si="4"/>
        <v/>
      </c>
      <c r="M28" s="7">
        <v>0</v>
      </c>
      <c r="N28" s="7">
        <f>IF(A28&lt;5,$X$1,IF(A28&gt;10,$AA$1,$Z$1))</f>
        <v>803</v>
      </c>
      <c r="O28" s="7">
        <v>20</v>
      </c>
      <c r="P28" s="7" t="str">
        <f>IF(H28=1,"",INDEX($X$1:$X$3,MATCH(H28,$V$1:$V$3,0)))</f>
        <v/>
      </c>
      <c r="Q28" s="7" t="str">
        <f t="shared" si="5"/>
        <v/>
      </c>
      <c r="R28" s="7"/>
      <c r="S28" s="7">
        <f t="shared" si="6"/>
        <v>40</v>
      </c>
      <c r="T28" s="7"/>
      <c r="U28" s="7"/>
      <c r="V28" s="7"/>
      <c r="Y28" s="4"/>
      <c r="AA28" s="7"/>
    </row>
    <row r="29" spans="1:27">
      <c r="A29" s="7">
        <v>28</v>
      </c>
      <c r="B29" s="7">
        <f t="shared" si="13"/>
        <v>2460</v>
      </c>
      <c r="C29" s="7">
        <f t="shared" si="14"/>
        <v>61</v>
      </c>
      <c r="D29" s="7">
        <v>26</v>
      </c>
      <c r="E29" s="7"/>
      <c r="F29" s="7">
        <f t="shared" si="2"/>
        <v>49</v>
      </c>
      <c r="G29" s="7">
        <f t="shared" si="15"/>
        <v>259.2</v>
      </c>
      <c r="H29" s="7">
        <v>1</v>
      </c>
      <c r="I29" s="7">
        <f>IF(A29&lt;5,$X$1,IF(A29&gt;10,$AA$1,$Z$1))</f>
        <v>803</v>
      </c>
      <c r="J29" s="7">
        <v>20</v>
      </c>
      <c r="K29" s="7" t="str">
        <f>IF(H29=1,"",INDEX($X$1:$X$3,MATCH(H29,$V$1:$V$3,0)))</f>
        <v/>
      </c>
      <c r="L29" s="7" t="str">
        <f t="shared" si="4"/>
        <v/>
      </c>
      <c r="M29" s="7">
        <v>0</v>
      </c>
      <c r="N29" s="7">
        <f>IF(A29&lt;5,$X$1,IF(A29&gt;10,$AA$1,$Z$1))</f>
        <v>803</v>
      </c>
      <c r="O29" s="7">
        <v>20</v>
      </c>
      <c r="P29" s="7" t="str">
        <f>IF(H29=1,"",INDEX($X$1:$X$3,MATCH(H29,$V$1:$V$3,0)))</f>
        <v/>
      </c>
      <c r="Q29" s="7" t="str">
        <f t="shared" si="5"/>
        <v/>
      </c>
      <c r="R29" s="7"/>
      <c r="S29" s="7">
        <f t="shared" si="6"/>
        <v>40</v>
      </c>
      <c r="T29" s="7"/>
      <c r="U29" s="7"/>
      <c r="V29" s="7"/>
      <c r="Y29" s="4"/>
      <c r="AA29" s="7"/>
    </row>
    <row r="30" spans="1:27">
      <c r="A30" s="7">
        <v>29</v>
      </c>
      <c r="B30" s="7">
        <f t="shared" si="13"/>
        <v>2560</v>
      </c>
      <c r="C30" s="7">
        <f t="shared" si="14"/>
        <v>64</v>
      </c>
      <c r="D30" s="7">
        <v>27</v>
      </c>
      <c r="E30" s="7"/>
      <c r="F30" s="7">
        <f t="shared" si="2"/>
        <v>51</v>
      </c>
      <c r="G30" s="7">
        <f>G31*0.85</f>
        <v>275.4</v>
      </c>
      <c r="H30" s="7">
        <v>1</v>
      </c>
      <c r="I30" s="7">
        <f>IF(A30&lt;5,$X$1,IF(A30&gt;10,$AA$1,$Z$1))</f>
        <v>803</v>
      </c>
      <c r="J30" s="7">
        <v>20</v>
      </c>
      <c r="K30" s="7" t="str">
        <f>IF(H30=1,"",INDEX($X$1:$X$3,MATCH(H30,$V$1:$V$3,0)))</f>
        <v/>
      </c>
      <c r="L30" s="7" t="str">
        <f t="shared" si="4"/>
        <v/>
      </c>
      <c r="M30" s="7">
        <v>0</v>
      </c>
      <c r="N30" s="7">
        <f>IF(A30&lt;5,$X$1,IF(A30&gt;10,$AA$1,$Z$1))</f>
        <v>803</v>
      </c>
      <c r="O30" s="7">
        <v>20</v>
      </c>
      <c r="P30" s="7" t="str">
        <f>IF(H30=1,"",INDEX($X$1:$X$3,MATCH(H30,$V$1:$V$3,0)))</f>
        <v/>
      </c>
      <c r="Q30" s="7" t="str">
        <f t="shared" si="5"/>
        <v/>
      </c>
      <c r="R30" s="7"/>
      <c r="S30" s="7">
        <f t="shared" si="6"/>
        <v>40</v>
      </c>
      <c r="T30" s="7"/>
      <c r="U30" s="7"/>
      <c r="V30" s="7"/>
      <c r="Y30" s="4"/>
      <c r="AA30" s="7"/>
    </row>
    <row r="31" spans="1:27">
      <c r="A31" s="7">
        <v>30</v>
      </c>
      <c r="B31" s="7">
        <f t="shared" si="13"/>
        <v>2660</v>
      </c>
      <c r="C31" s="7">
        <f t="shared" si="14"/>
        <v>66</v>
      </c>
      <c r="D31" s="7">
        <v>28</v>
      </c>
      <c r="E31" s="7"/>
      <c r="F31" s="7">
        <f t="shared" si="2"/>
        <v>53</v>
      </c>
      <c r="G31" s="7">
        <v>324</v>
      </c>
      <c r="H31" s="7">
        <v>3</v>
      </c>
      <c r="I31" s="7">
        <f>IF(A31&lt;5,$X$1,IF(A31&gt;10,$AA$1,$Z$1))</f>
        <v>803</v>
      </c>
      <c r="J31" s="7">
        <v>20</v>
      </c>
      <c r="K31" s="7">
        <f>IF(H31=1,"",INDEX($X$1:$X$3,MATCH(H31,$V$1:$V$3,0)))</f>
        <v>806</v>
      </c>
      <c r="L31" s="7">
        <f t="shared" si="4"/>
        <v>1</v>
      </c>
      <c r="M31" s="7">
        <v>0</v>
      </c>
      <c r="N31" s="7">
        <f>IF(A31&lt;5,$X$1,IF(A31&gt;10,$AA$1,$Z$1))</f>
        <v>803</v>
      </c>
      <c r="O31" s="7">
        <v>20</v>
      </c>
      <c r="P31" s="7">
        <f>IF(H31=1,"",INDEX($X$1:$X$3,MATCH(H31,$V$1:$V$3,0)))</f>
        <v>806</v>
      </c>
      <c r="Q31" s="7">
        <f t="shared" si="5"/>
        <v>1</v>
      </c>
      <c r="R31" s="7"/>
      <c r="S31" s="7">
        <f t="shared" si="6"/>
        <v>42</v>
      </c>
      <c r="T31" s="7"/>
      <c r="U31" s="7"/>
      <c r="V31" s="7"/>
      <c r="Y31" s="4"/>
      <c r="AA31" s="7"/>
    </row>
    <row r="32" spans="1:27">
      <c r="A32" s="7"/>
      <c r="B32" s="7"/>
      <c r="C32" s="7">
        <f t="shared" si="14"/>
        <v>0</v>
      </c>
      <c r="D32" s="7"/>
      <c r="E32" s="7"/>
      <c r="F32" s="7">
        <f t="shared" si="2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/>
      <c r="C33" s="7">
        <f t="shared" si="14"/>
        <v>0</v>
      </c>
      <c r="D33" s="7"/>
      <c r="E33" s="7"/>
      <c r="F33" s="7">
        <f t="shared" si="2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6">IF(I2="","",_xlfn.TEXTJOIN(",",TRUE,I2:J2))</f>
        <v>801,10</v>
      </c>
      <c r="J40" s="7" t="str">
        <f t="shared" ref="J40:J69" si="17">IF(I40="","",_xlfn.TEXTJOIN(",",TRUE,I40,H40))</f>
        <v>801,10,1</v>
      </c>
      <c r="K40" s="7" t="str">
        <f t="shared" si="16"/>
        <v/>
      </c>
      <c r="L40" s="7" t="str">
        <f t="shared" ref="L40:L69" si="18">IF(K40="","",_xlfn.TEXTJOIN(",",TRUE,K40,H40))</f>
        <v/>
      </c>
      <c r="M40" s="7" t="str">
        <f t="shared" ref="M40:M69" si="19">_xlfn.TEXTJOIN(";",TRUE,J40,L40)</f>
        <v>801,10,1</v>
      </c>
      <c r="N40" s="7" t="str">
        <f t="shared" si="16"/>
        <v>801,10</v>
      </c>
      <c r="O40" s="7" t="str">
        <f t="shared" ref="O40:O69" si="20">IF(N40="","",N40&amp;","&amp;H40)</f>
        <v>801,10,1</v>
      </c>
      <c r="P40" s="7" t="str">
        <f t="shared" ref="P40:P69" si="21">IF(P2="","",P2&amp;","&amp;Q2)</f>
        <v/>
      </c>
      <c r="Q40" s="7" t="str">
        <f t="shared" ref="Q40:Q69" si="22">IF(P40="","",P40&amp;","&amp;H40)</f>
        <v/>
      </c>
      <c r="R40" s="7" t="str">
        <f t="shared" ref="R40:R69" si="23">_xlfn.TEXTJOIN(";",TRUE,O40,Q40)</f>
        <v>801,10,1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4">IF(I3="","",_xlfn.TEXTJOIN(",",TRUE,I3:J3))</f>
        <v>801,10</v>
      </c>
      <c r="J41" s="7" t="str">
        <f t="shared" si="17"/>
        <v>801,10,2</v>
      </c>
      <c r="K41" s="7" t="str">
        <f t="shared" si="24"/>
        <v/>
      </c>
      <c r="L41" s="7" t="str">
        <f t="shared" si="18"/>
        <v/>
      </c>
      <c r="M41" s="7" t="str">
        <f t="shared" si="19"/>
        <v>801,10,2</v>
      </c>
      <c r="N41" s="7" t="str">
        <f t="shared" si="24"/>
        <v>801,10</v>
      </c>
      <c r="O41" s="7" t="str">
        <f t="shared" si="20"/>
        <v>801,10,2</v>
      </c>
      <c r="P41" s="7" t="str">
        <f t="shared" si="21"/>
        <v/>
      </c>
      <c r="Q41" s="7" t="str">
        <f t="shared" si="22"/>
        <v/>
      </c>
      <c r="R41" s="7" t="str">
        <f t="shared" si="23"/>
        <v>801,10,2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5">IF(I4="","",_xlfn.TEXTJOIN(",",TRUE,I4:J4))</f>
        <v>801,10</v>
      </c>
      <c r="J42" s="7" t="str">
        <f t="shared" si="17"/>
        <v>801,10,3</v>
      </c>
      <c r="K42" s="7" t="str">
        <f t="shared" si="25"/>
        <v/>
      </c>
      <c r="L42" s="7" t="str">
        <f t="shared" si="18"/>
        <v/>
      </c>
      <c r="M42" s="7" t="str">
        <f t="shared" si="19"/>
        <v>801,10,3</v>
      </c>
      <c r="N42" s="7" t="str">
        <f t="shared" si="25"/>
        <v>801,10</v>
      </c>
      <c r="O42" s="7" t="str">
        <f t="shared" si="20"/>
        <v>801,10,3</v>
      </c>
      <c r="P42" s="7" t="str">
        <f t="shared" si="21"/>
        <v/>
      </c>
      <c r="Q42" s="7" t="str">
        <f t="shared" si="22"/>
        <v/>
      </c>
      <c r="R42" s="7" t="str">
        <f t="shared" si="23"/>
        <v>801,10,3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6">IF(I5="","",_xlfn.TEXTJOIN(",",TRUE,I5:J5))</f>
        <v>801,10</v>
      </c>
      <c r="J43" s="7" t="str">
        <f t="shared" si="17"/>
        <v>801,10,4</v>
      </c>
      <c r="K43" s="7" t="str">
        <f t="shared" si="26"/>
        <v/>
      </c>
      <c r="L43" s="7" t="str">
        <f t="shared" si="18"/>
        <v/>
      </c>
      <c r="M43" s="7" t="str">
        <f t="shared" si="19"/>
        <v>801,10,4</v>
      </c>
      <c r="N43" s="7" t="str">
        <f t="shared" si="26"/>
        <v>801,10</v>
      </c>
      <c r="O43" s="7" t="str">
        <f t="shared" si="20"/>
        <v>801,10,4</v>
      </c>
      <c r="P43" s="7" t="str">
        <f t="shared" si="21"/>
        <v/>
      </c>
      <c r="Q43" s="7" t="str">
        <f t="shared" si="22"/>
        <v/>
      </c>
      <c r="R43" s="7" t="str">
        <f t="shared" si="23"/>
        <v>801,10,4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7">IF(I6="","",_xlfn.TEXTJOIN(",",TRUE,I6:J6))</f>
        <v>802,5</v>
      </c>
      <c r="J44" s="7" t="str">
        <f t="shared" si="17"/>
        <v>802,5,5</v>
      </c>
      <c r="K44" s="7" t="str">
        <f t="shared" si="27"/>
        <v>805,5</v>
      </c>
      <c r="L44" s="7" t="str">
        <f t="shared" si="18"/>
        <v>805,5,5</v>
      </c>
      <c r="M44" s="7" t="str">
        <f t="shared" si="19"/>
        <v>802,5,5;805,5,5</v>
      </c>
      <c r="N44" s="7" t="str">
        <f t="shared" si="27"/>
        <v>802,5</v>
      </c>
      <c r="O44" s="7" t="str">
        <f t="shared" si="20"/>
        <v>802,5,5</v>
      </c>
      <c r="P44" s="7" t="str">
        <f t="shared" si="21"/>
        <v>805,5</v>
      </c>
      <c r="Q44" s="7" t="str">
        <f t="shared" si="22"/>
        <v>805,5,5</v>
      </c>
      <c r="R44" s="7" t="str">
        <f t="shared" si="23"/>
        <v>802,5,5;805,5,5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8">IF(I7="","",_xlfn.TEXTJOIN(",",TRUE,I7:J7))</f>
        <v>802,10</v>
      </c>
      <c r="J45" s="7" t="str">
        <f t="shared" si="17"/>
        <v>802,10,6</v>
      </c>
      <c r="K45" s="7" t="str">
        <f t="shared" si="28"/>
        <v/>
      </c>
      <c r="L45" s="7" t="str">
        <f t="shared" si="18"/>
        <v/>
      </c>
      <c r="M45" s="7" t="str">
        <f t="shared" si="19"/>
        <v>802,10,6</v>
      </c>
      <c r="N45" s="7" t="str">
        <f t="shared" si="28"/>
        <v>802,10</v>
      </c>
      <c r="O45" s="7" t="str">
        <f t="shared" si="20"/>
        <v>802,10,6</v>
      </c>
      <c r="P45" s="7" t="str">
        <f t="shared" si="21"/>
        <v/>
      </c>
      <c r="Q45" s="7" t="str">
        <f t="shared" si="22"/>
        <v/>
      </c>
      <c r="R45" s="7" t="str">
        <f t="shared" si="23"/>
        <v>802,10,6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9">IF(I8="","",_xlfn.TEXTJOIN(",",TRUE,I8:J8))</f>
        <v>802,10</v>
      </c>
      <c r="J46" s="7" t="str">
        <f t="shared" si="17"/>
        <v>802,10,7</v>
      </c>
      <c r="K46" s="7" t="str">
        <f t="shared" si="29"/>
        <v/>
      </c>
      <c r="L46" s="7" t="str">
        <f t="shared" si="18"/>
        <v/>
      </c>
      <c r="M46" s="7" t="str">
        <f t="shared" si="19"/>
        <v>802,10,7</v>
      </c>
      <c r="N46" s="7" t="str">
        <f t="shared" si="29"/>
        <v>802,10</v>
      </c>
      <c r="O46" s="7" t="str">
        <f t="shared" si="20"/>
        <v>802,10,7</v>
      </c>
      <c r="P46" s="7" t="str">
        <f t="shared" si="21"/>
        <v/>
      </c>
      <c r="Q46" s="7" t="str">
        <f t="shared" si="22"/>
        <v/>
      </c>
      <c r="R46" s="7" t="str">
        <f t="shared" si="23"/>
        <v>802,10,7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30">IF(I9="","",_xlfn.TEXTJOIN(",",TRUE,I9:J9))</f>
        <v>802,10</v>
      </c>
      <c r="J47" s="7" t="str">
        <f t="shared" si="17"/>
        <v>802,10,8</v>
      </c>
      <c r="K47" s="7" t="str">
        <f t="shared" si="30"/>
        <v/>
      </c>
      <c r="L47" s="7" t="str">
        <f t="shared" si="18"/>
        <v/>
      </c>
      <c r="M47" s="7" t="str">
        <f t="shared" si="19"/>
        <v>802,10,8</v>
      </c>
      <c r="N47" s="7" t="str">
        <f t="shared" si="30"/>
        <v>802,10</v>
      </c>
      <c r="O47" s="7" t="str">
        <f t="shared" si="20"/>
        <v>802,10,8</v>
      </c>
      <c r="P47" s="7" t="str">
        <f t="shared" si="21"/>
        <v/>
      </c>
      <c r="Q47" s="7" t="str">
        <f t="shared" si="22"/>
        <v/>
      </c>
      <c r="R47" s="7" t="str">
        <f t="shared" si="23"/>
        <v>802,10,8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31">IF(I10="","",_xlfn.TEXTJOIN(",",TRUE,I10:J10))</f>
        <v>802,10</v>
      </c>
      <c r="J48" s="7" t="str">
        <f t="shared" si="17"/>
        <v>802,10,9</v>
      </c>
      <c r="K48" s="7" t="str">
        <f t="shared" si="31"/>
        <v/>
      </c>
      <c r="L48" s="7" t="str">
        <f t="shared" si="18"/>
        <v/>
      </c>
      <c r="M48" s="7" t="str">
        <f t="shared" si="19"/>
        <v>802,10,9</v>
      </c>
      <c r="N48" s="7" t="str">
        <f t="shared" si="31"/>
        <v>802,10</v>
      </c>
      <c r="O48" s="7" t="str">
        <f t="shared" si="20"/>
        <v>802,10,9</v>
      </c>
      <c r="P48" s="7" t="str">
        <f t="shared" si="21"/>
        <v/>
      </c>
      <c r="Q48" s="7" t="str">
        <f t="shared" si="22"/>
        <v/>
      </c>
      <c r="R48" s="7" t="str">
        <f t="shared" si="23"/>
        <v>802,10,9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2">IF(I11="","",_xlfn.TEXTJOIN(",",TRUE,I11:J11))</f>
        <v>802,10</v>
      </c>
      <c r="J49" s="7" t="str">
        <f t="shared" si="17"/>
        <v>802,10,10</v>
      </c>
      <c r="K49" s="7" t="str">
        <f t="shared" si="32"/>
        <v>806,1</v>
      </c>
      <c r="L49" s="7" t="str">
        <f t="shared" si="18"/>
        <v>806,1,10</v>
      </c>
      <c r="M49" s="7" t="str">
        <f t="shared" si="19"/>
        <v>802,10,10;806,1,10</v>
      </c>
      <c r="N49" s="7" t="str">
        <f t="shared" si="32"/>
        <v>802,10</v>
      </c>
      <c r="O49" s="7" t="str">
        <f t="shared" si="20"/>
        <v>802,10,10</v>
      </c>
      <c r="P49" s="7" t="str">
        <f t="shared" si="21"/>
        <v>806,1</v>
      </c>
      <c r="Q49" s="7" t="str">
        <f t="shared" si="22"/>
        <v>806,1,10</v>
      </c>
      <c r="R49" s="7" t="str">
        <f t="shared" si="23"/>
        <v>802,10,10;806,1,10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3">IF(I12="","",_xlfn.TEXTJOIN(",",TRUE,I12:J12))</f>
        <v>803,15</v>
      </c>
      <c r="J50" s="7" t="str">
        <f t="shared" si="17"/>
        <v>803,15,11</v>
      </c>
      <c r="K50" s="7" t="str">
        <f t="shared" si="33"/>
        <v/>
      </c>
      <c r="L50" s="7" t="str">
        <f t="shared" si="18"/>
        <v/>
      </c>
      <c r="M50" s="7" t="str">
        <f t="shared" si="19"/>
        <v>803,15,11</v>
      </c>
      <c r="N50" s="7" t="str">
        <f t="shared" si="33"/>
        <v>803,15</v>
      </c>
      <c r="O50" s="7" t="str">
        <f t="shared" si="20"/>
        <v>803,15,11</v>
      </c>
      <c r="P50" s="7" t="str">
        <f t="shared" si="21"/>
        <v/>
      </c>
      <c r="Q50" s="7" t="str">
        <f t="shared" si="22"/>
        <v/>
      </c>
      <c r="R50" s="7" t="str">
        <f t="shared" si="23"/>
        <v>803,15,11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4">IF(I13="","",_xlfn.TEXTJOIN(",",TRUE,I13:J13))</f>
        <v>803,15</v>
      </c>
      <c r="J51" s="7" t="str">
        <f t="shared" si="17"/>
        <v>803,15,12</v>
      </c>
      <c r="K51" s="7" t="str">
        <f t="shared" si="34"/>
        <v/>
      </c>
      <c r="L51" s="7" t="str">
        <f t="shared" si="18"/>
        <v/>
      </c>
      <c r="M51" s="7" t="str">
        <f t="shared" si="19"/>
        <v>803,15,12</v>
      </c>
      <c r="N51" s="7" t="str">
        <f t="shared" si="34"/>
        <v>803,15</v>
      </c>
      <c r="O51" s="7" t="str">
        <f t="shared" si="20"/>
        <v>803,15,12</v>
      </c>
      <c r="P51" s="7" t="str">
        <f t="shared" si="21"/>
        <v/>
      </c>
      <c r="Q51" s="7" t="str">
        <f t="shared" si="22"/>
        <v/>
      </c>
      <c r="R51" s="7" t="str">
        <f t="shared" si="23"/>
        <v>803,15,12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5">IF(I14="","",_xlfn.TEXTJOIN(",",TRUE,I14:J14))</f>
        <v>803,15</v>
      </c>
      <c r="J52" s="7" t="str">
        <f t="shared" si="17"/>
        <v>803,15,13</v>
      </c>
      <c r="K52" s="7" t="str">
        <f t="shared" si="35"/>
        <v/>
      </c>
      <c r="L52" s="7" t="str">
        <f t="shared" si="18"/>
        <v/>
      </c>
      <c r="M52" s="7" t="str">
        <f t="shared" si="19"/>
        <v>803,15,13</v>
      </c>
      <c r="N52" s="7" t="str">
        <f t="shared" si="35"/>
        <v>803,15</v>
      </c>
      <c r="O52" s="7" t="str">
        <f t="shared" si="20"/>
        <v>803,15,13</v>
      </c>
      <c r="P52" s="7" t="str">
        <f t="shared" si="21"/>
        <v/>
      </c>
      <c r="Q52" s="7" t="str">
        <f t="shared" si="22"/>
        <v/>
      </c>
      <c r="R52" s="7" t="str">
        <f t="shared" si="23"/>
        <v>803,15,13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6">IF(I15="","",_xlfn.TEXTJOIN(",",TRUE,I15:J15))</f>
        <v>803,15</v>
      </c>
      <c r="J53" s="7" t="str">
        <f t="shared" si="17"/>
        <v>803,15,14</v>
      </c>
      <c r="K53" s="7" t="str">
        <f t="shared" si="36"/>
        <v/>
      </c>
      <c r="L53" s="7" t="str">
        <f t="shared" si="18"/>
        <v/>
      </c>
      <c r="M53" s="7" t="str">
        <f t="shared" si="19"/>
        <v>803,15,14</v>
      </c>
      <c r="N53" s="7" t="str">
        <f t="shared" si="36"/>
        <v>803,15</v>
      </c>
      <c r="O53" s="7" t="str">
        <f t="shared" si="20"/>
        <v>803,15,14</v>
      </c>
      <c r="P53" s="7" t="str">
        <f t="shared" si="21"/>
        <v/>
      </c>
      <c r="Q53" s="7" t="str">
        <f t="shared" si="22"/>
        <v/>
      </c>
      <c r="R53" s="7" t="str">
        <f t="shared" si="23"/>
        <v>803,15,14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7">IF(I16="","",_xlfn.TEXTJOIN(",",TRUE,I16:J16))</f>
        <v>803,10</v>
      </c>
      <c r="J54" s="7" t="str">
        <f t="shared" si="17"/>
        <v>803,10,15</v>
      </c>
      <c r="K54" s="7" t="str">
        <f t="shared" si="37"/>
        <v>805,5</v>
      </c>
      <c r="L54" s="7" t="str">
        <f t="shared" si="18"/>
        <v>805,5,15</v>
      </c>
      <c r="M54" s="7" t="str">
        <f t="shared" si="19"/>
        <v>803,10,15;805,5,15</v>
      </c>
      <c r="N54" s="7" t="str">
        <f t="shared" si="37"/>
        <v>803,10</v>
      </c>
      <c r="O54" s="7" t="str">
        <f t="shared" si="20"/>
        <v>803,10,15</v>
      </c>
      <c r="P54" s="7" t="str">
        <f t="shared" si="21"/>
        <v>805,5</v>
      </c>
      <c r="Q54" s="7" t="str">
        <f t="shared" si="22"/>
        <v>805,5,15</v>
      </c>
      <c r="R54" s="7" t="str">
        <f t="shared" si="23"/>
        <v>803,10,15;805,5,15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8">IF(I17="","",_xlfn.TEXTJOIN(",",TRUE,I17:J17))</f>
        <v>803,15</v>
      </c>
      <c r="J55" s="7" t="str">
        <f t="shared" si="17"/>
        <v>803,15,16</v>
      </c>
      <c r="K55" s="7" t="str">
        <f t="shared" si="38"/>
        <v/>
      </c>
      <c r="L55" s="7" t="str">
        <f t="shared" si="18"/>
        <v/>
      </c>
      <c r="M55" s="7" t="str">
        <f t="shared" si="19"/>
        <v>803,15,16</v>
      </c>
      <c r="N55" s="7" t="str">
        <f t="shared" si="38"/>
        <v>803,15</v>
      </c>
      <c r="O55" s="7" t="str">
        <f t="shared" si="20"/>
        <v>803,15,16</v>
      </c>
      <c r="P55" s="7" t="str">
        <f t="shared" si="21"/>
        <v/>
      </c>
      <c r="Q55" s="7" t="str">
        <f t="shared" si="22"/>
        <v/>
      </c>
      <c r="R55" s="7" t="str">
        <f t="shared" si="23"/>
        <v>803,15,16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9">IF(I18="","",_xlfn.TEXTJOIN(",",TRUE,I18:J18))</f>
        <v>803,15</v>
      </c>
      <c r="J56" s="7" t="str">
        <f t="shared" si="17"/>
        <v>803,15,17</v>
      </c>
      <c r="K56" s="7" t="str">
        <f t="shared" si="39"/>
        <v/>
      </c>
      <c r="L56" s="7" t="str">
        <f t="shared" si="18"/>
        <v/>
      </c>
      <c r="M56" s="7" t="str">
        <f t="shared" si="19"/>
        <v>803,15,17</v>
      </c>
      <c r="N56" s="7" t="str">
        <f t="shared" si="39"/>
        <v>803,15</v>
      </c>
      <c r="O56" s="7" t="str">
        <f t="shared" si="20"/>
        <v>803,15,17</v>
      </c>
      <c r="P56" s="7" t="str">
        <f t="shared" si="21"/>
        <v/>
      </c>
      <c r="Q56" s="7" t="str">
        <f t="shared" si="22"/>
        <v/>
      </c>
      <c r="R56" s="7" t="str">
        <f t="shared" si="23"/>
        <v>803,15,17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40">IF(I19="","",_xlfn.TEXTJOIN(",",TRUE,I19:J19))</f>
        <v>803,15</v>
      </c>
      <c r="J57" s="7" t="str">
        <f t="shared" si="17"/>
        <v>803,15,18</v>
      </c>
      <c r="K57" s="7" t="str">
        <f t="shared" si="40"/>
        <v/>
      </c>
      <c r="L57" s="7" t="str">
        <f t="shared" si="18"/>
        <v/>
      </c>
      <c r="M57" s="7" t="str">
        <f t="shared" si="19"/>
        <v>803,15,18</v>
      </c>
      <c r="N57" s="7" t="str">
        <f t="shared" si="40"/>
        <v>803,15</v>
      </c>
      <c r="O57" s="7" t="str">
        <f t="shared" si="20"/>
        <v>803,15,18</v>
      </c>
      <c r="P57" s="7" t="str">
        <f t="shared" si="21"/>
        <v/>
      </c>
      <c r="Q57" s="7" t="str">
        <f t="shared" si="22"/>
        <v/>
      </c>
      <c r="R57" s="7" t="str">
        <f t="shared" si="23"/>
        <v>803,15,18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41">IF(I20="","",_xlfn.TEXTJOIN(",",TRUE,I20:J20))</f>
        <v>803,15</v>
      </c>
      <c r="J58" s="7" t="str">
        <f t="shared" si="17"/>
        <v>803,15,19</v>
      </c>
      <c r="K58" s="7" t="str">
        <f t="shared" si="41"/>
        <v/>
      </c>
      <c r="L58" s="7" t="str">
        <f t="shared" si="18"/>
        <v/>
      </c>
      <c r="M58" s="7" t="str">
        <f t="shared" si="19"/>
        <v>803,15,19</v>
      </c>
      <c r="N58" s="7" t="str">
        <f t="shared" si="41"/>
        <v>803,15</v>
      </c>
      <c r="O58" s="7" t="str">
        <f t="shared" si="20"/>
        <v>803,15,19</v>
      </c>
      <c r="P58" s="7" t="str">
        <f t="shared" si="21"/>
        <v/>
      </c>
      <c r="Q58" s="7" t="str">
        <f t="shared" si="22"/>
        <v/>
      </c>
      <c r="R58" s="7" t="str">
        <f t="shared" si="23"/>
        <v>803,15,19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2">IF(I21="","",_xlfn.TEXTJOIN(",",TRUE,I21:J21))</f>
        <v>803,15</v>
      </c>
      <c r="J59" s="7" t="str">
        <f t="shared" si="17"/>
        <v>803,15,20</v>
      </c>
      <c r="K59" s="7" t="str">
        <f t="shared" si="42"/>
        <v>806,1</v>
      </c>
      <c r="L59" s="7" t="str">
        <f t="shared" si="18"/>
        <v>806,1,20</v>
      </c>
      <c r="M59" s="7" t="str">
        <f t="shared" si="19"/>
        <v>803,15,20;806,1,20</v>
      </c>
      <c r="N59" s="7" t="str">
        <f t="shared" si="42"/>
        <v>803,15</v>
      </c>
      <c r="O59" s="7" t="str">
        <f t="shared" si="20"/>
        <v>803,15,20</v>
      </c>
      <c r="P59" s="7" t="str">
        <f t="shared" si="21"/>
        <v>806,1</v>
      </c>
      <c r="Q59" s="7" t="str">
        <f t="shared" si="22"/>
        <v>806,1,20</v>
      </c>
      <c r="R59" s="7" t="str">
        <f t="shared" si="23"/>
        <v>803,15,20;806,1,20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3">IF(I22="","",_xlfn.TEXTJOIN(",",TRUE,I22:J22))</f>
        <v>803,20</v>
      </c>
      <c r="J60" s="7" t="str">
        <f t="shared" si="17"/>
        <v>803,20,21</v>
      </c>
      <c r="K60" s="7" t="str">
        <f t="shared" si="43"/>
        <v/>
      </c>
      <c r="L60" s="7" t="str">
        <f t="shared" si="18"/>
        <v/>
      </c>
      <c r="M60" s="7" t="str">
        <f t="shared" si="19"/>
        <v>803,20,21</v>
      </c>
      <c r="N60" s="7" t="str">
        <f t="shared" si="43"/>
        <v>803,20</v>
      </c>
      <c r="O60" s="7" t="str">
        <f t="shared" si="20"/>
        <v>803,20,21</v>
      </c>
      <c r="P60" s="7" t="str">
        <f t="shared" si="21"/>
        <v/>
      </c>
      <c r="Q60" s="7" t="str">
        <f t="shared" si="22"/>
        <v/>
      </c>
      <c r="R60" s="7" t="str">
        <f t="shared" si="23"/>
        <v>803,20,21</v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4">IF(I23="","",_xlfn.TEXTJOIN(",",TRUE,I23:J23))</f>
        <v>803,20</v>
      </c>
      <c r="J61" s="7" t="str">
        <f t="shared" si="17"/>
        <v>803,20,22</v>
      </c>
      <c r="K61" s="7" t="str">
        <f t="shared" si="44"/>
        <v/>
      </c>
      <c r="L61" s="7" t="str">
        <f t="shared" si="18"/>
        <v/>
      </c>
      <c r="M61" s="7" t="str">
        <f t="shared" si="19"/>
        <v>803,20,22</v>
      </c>
      <c r="N61" s="7" t="str">
        <f t="shared" si="44"/>
        <v>803,20</v>
      </c>
      <c r="O61" s="7" t="str">
        <f t="shared" si="20"/>
        <v>803,20,22</v>
      </c>
      <c r="P61" s="7" t="str">
        <f t="shared" si="21"/>
        <v/>
      </c>
      <c r="Q61" s="7" t="str">
        <f t="shared" si="22"/>
        <v/>
      </c>
      <c r="R61" s="7" t="str">
        <f t="shared" si="23"/>
        <v>803,20,22</v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5">IF(I24="","",_xlfn.TEXTJOIN(",",TRUE,I24:J24))</f>
        <v>803,20</v>
      </c>
      <c r="J62" s="7" t="str">
        <f t="shared" si="17"/>
        <v>803,20,23</v>
      </c>
      <c r="K62" s="7" t="str">
        <f t="shared" si="45"/>
        <v/>
      </c>
      <c r="L62" s="7" t="str">
        <f t="shared" si="18"/>
        <v/>
      </c>
      <c r="M62" s="7" t="str">
        <f t="shared" si="19"/>
        <v>803,20,23</v>
      </c>
      <c r="N62" s="7" t="str">
        <f t="shared" si="45"/>
        <v>803,20</v>
      </c>
      <c r="O62" s="7" t="str">
        <f t="shared" si="20"/>
        <v>803,20,23</v>
      </c>
      <c r="P62" s="7" t="str">
        <f t="shared" si="21"/>
        <v/>
      </c>
      <c r="Q62" s="7" t="str">
        <f t="shared" si="22"/>
        <v/>
      </c>
      <c r="R62" s="7" t="str">
        <f t="shared" si="23"/>
        <v>803,20,23</v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6">IF(I25="","",_xlfn.TEXTJOIN(",",TRUE,I25:J25))</f>
        <v>803,20</v>
      </c>
      <c r="J63" s="7" t="str">
        <f t="shared" si="17"/>
        <v>803,20,24</v>
      </c>
      <c r="K63" s="7" t="str">
        <f t="shared" si="46"/>
        <v/>
      </c>
      <c r="L63" s="7" t="str">
        <f t="shared" si="18"/>
        <v/>
      </c>
      <c r="M63" s="7" t="str">
        <f t="shared" si="19"/>
        <v>803,20,24</v>
      </c>
      <c r="N63" s="7" t="str">
        <f t="shared" si="46"/>
        <v>803,20</v>
      </c>
      <c r="O63" s="7" t="str">
        <f t="shared" si="20"/>
        <v>803,20,24</v>
      </c>
      <c r="P63" s="7" t="str">
        <f t="shared" si="21"/>
        <v/>
      </c>
      <c r="Q63" s="7" t="str">
        <f t="shared" si="22"/>
        <v/>
      </c>
      <c r="R63" s="7" t="str">
        <f t="shared" si="23"/>
        <v>803,20,24</v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7">IF(I26="","",_xlfn.TEXTJOIN(",",TRUE,I26:J26))</f>
        <v>803,10</v>
      </c>
      <c r="J64" s="7" t="str">
        <f t="shared" si="17"/>
        <v>803,10,25</v>
      </c>
      <c r="K64" s="7" t="str">
        <f t="shared" si="47"/>
        <v>805,5</v>
      </c>
      <c r="L64" s="7" t="str">
        <f t="shared" si="18"/>
        <v>805,5,25</v>
      </c>
      <c r="M64" s="7" t="str">
        <f t="shared" si="19"/>
        <v>803,10,25;805,5,25</v>
      </c>
      <c r="N64" s="7" t="str">
        <f t="shared" si="47"/>
        <v>803,10</v>
      </c>
      <c r="O64" s="7" t="str">
        <f t="shared" si="20"/>
        <v>803,10,25</v>
      </c>
      <c r="P64" s="7" t="str">
        <f t="shared" si="21"/>
        <v>805,5</v>
      </c>
      <c r="Q64" s="7" t="str">
        <f t="shared" si="22"/>
        <v>805,5,25</v>
      </c>
      <c r="R64" s="7" t="str">
        <f t="shared" si="23"/>
        <v>803,10,25;805,5,25</v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8">IF(I27="","",_xlfn.TEXTJOIN(",",TRUE,I27:J27))</f>
        <v>803,20</v>
      </c>
      <c r="J65" s="7" t="str">
        <f t="shared" si="17"/>
        <v>803,20,26</v>
      </c>
      <c r="K65" s="7" t="str">
        <f t="shared" si="48"/>
        <v/>
      </c>
      <c r="L65" s="7" t="str">
        <f t="shared" si="18"/>
        <v/>
      </c>
      <c r="M65" s="7" t="str">
        <f t="shared" si="19"/>
        <v>803,20,26</v>
      </c>
      <c r="N65" s="7" t="str">
        <f t="shared" si="48"/>
        <v>803,20</v>
      </c>
      <c r="O65" s="7" t="str">
        <f t="shared" si="20"/>
        <v>803,20,26</v>
      </c>
      <c r="P65" s="7" t="str">
        <f t="shared" si="21"/>
        <v/>
      </c>
      <c r="Q65" s="7" t="str">
        <f t="shared" si="22"/>
        <v/>
      </c>
      <c r="R65" s="7" t="str">
        <f t="shared" si="23"/>
        <v>803,20,26</v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9">IF(I28="","",_xlfn.TEXTJOIN(",",TRUE,I28:J28))</f>
        <v>803,20</v>
      </c>
      <c r="J66" s="7" t="str">
        <f t="shared" si="17"/>
        <v>803,20,27</v>
      </c>
      <c r="K66" s="7" t="str">
        <f t="shared" si="49"/>
        <v/>
      </c>
      <c r="L66" s="7" t="str">
        <f t="shared" si="18"/>
        <v/>
      </c>
      <c r="M66" s="7" t="str">
        <f t="shared" si="19"/>
        <v>803,20,27</v>
      </c>
      <c r="N66" s="7" t="str">
        <f t="shared" si="49"/>
        <v>803,20</v>
      </c>
      <c r="O66" s="7" t="str">
        <f t="shared" si="20"/>
        <v>803,20,27</v>
      </c>
      <c r="P66" s="7" t="str">
        <f t="shared" si="21"/>
        <v/>
      </c>
      <c r="Q66" s="7" t="str">
        <f t="shared" si="22"/>
        <v/>
      </c>
      <c r="R66" s="7" t="str">
        <f t="shared" si="23"/>
        <v>803,20,27</v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50">IF(I29="","",_xlfn.TEXTJOIN(",",TRUE,I29:J29))</f>
        <v>803,20</v>
      </c>
      <c r="J67" s="7" t="str">
        <f t="shared" si="17"/>
        <v>803,20,28</v>
      </c>
      <c r="K67" s="7" t="str">
        <f t="shared" si="50"/>
        <v/>
      </c>
      <c r="L67" s="7" t="str">
        <f t="shared" si="18"/>
        <v/>
      </c>
      <c r="M67" s="7" t="str">
        <f t="shared" si="19"/>
        <v>803,20,28</v>
      </c>
      <c r="N67" s="7" t="str">
        <f t="shared" si="50"/>
        <v>803,20</v>
      </c>
      <c r="O67" s="7" t="str">
        <f t="shared" si="20"/>
        <v>803,20,28</v>
      </c>
      <c r="P67" s="7" t="str">
        <f t="shared" si="21"/>
        <v/>
      </c>
      <c r="Q67" s="7" t="str">
        <f t="shared" si="22"/>
        <v/>
      </c>
      <c r="R67" s="7" t="str">
        <f t="shared" si="23"/>
        <v>803,20,28</v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51">IF(I30="","",_xlfn.TEXTJOIN(",",TRUE,I30:J30))</f>
        <v>803,20</v>
      </c>
      <c r="J68" s="7" t="str">
        <f t="shared" si="17"/>
        <v>803,20,29</v>
      </c>
      <c r="K68" s="7" t="str">
        <f t="shared" si="51"/>
        <v/>
      </c>
      <c r="L68" s="7" t="str">
        <f t="shared" si="18"/>
        <v/>
      </c>
      <c r="M68" s="7" t="str">
        <f t="shared" si="19"/>
        <v>803,20,29</v>
      </c>
      <c r="N68" s="7" t="str">
        <f t="shared" si="51"/>
        <v>803,20</v>
      </c>
      <c r="O68" s="7" t="str">
        <f t="shared" si="20"/>
        <v>803,20,29</v>
      </c>
      <c r="P68" s="7" t="str">
        <f t="shared" si="21"/>
        <v/>
      </c>
      <c r="Q68" s="7" t="str">
        <f t="shared" si="22"/>
        <v/>
      </c>
      <c r="R68" s="7" t="str">
        <f t="shared" si="23"/>
        <v>803,20,29</v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2">IF(I31="","",_xlfn.TEXTJOIN(",",TRUE,I31:J31))</f>
        <v>803,20</v>
      </c>
      <c r="J69" s="7" t="str">
        <f t="shared" si="17"/>
        <v>803,20,30</v>
      </c>
      <c r="K69" s="7" t="str">
        <f t="shared" si="52"/>
        <v>806,1</v>
      </c>
      <c r="L69" s="7" t="str">
        <f t="shared" si="18"/>
        <v>806,1,30</v>
      </c>
      <c r="M69" s="7" t="str">
        <f t="shared" si="19"/>
        <v>803,20,30;806,1,30</v>
      </c>
      <c r="N69" s="7" t="str">
        <f t="shared" si="52"/>
        <v>803,20</v>
      </c>
      <c r="O69" s="7" t="str">
        <f t="shared" si="20"/>
        <v>803,20,30</v>
      </c>
      <c r="P69" s="7" t="str">
        <f t="shared" si="21"/>
        <v>806,1</v>
      </c>
      <c r="Q69" s="7" t="str">
        <f t="shared" si="22"/>
        <v>806,1,30</v>
      </c>
      <c r="R69" s="7" t="str">
        <f t="shared" si="23"/>
        <v>803,20,30;806,1,30</v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801,10,1|801,10,2|801,10,3|801,10,4|802,5,5;805,5,5|802,10,6|802,10,7|802,10,8|802,10,9|802,10,10;806,1,10|803,15,11|803,15,12|803,15,13|803,15,14|803,10,15;805,5,15|803,15,16|803,15,17|803,15,18|803,15,19|803,15,20;806,1,20|803,20,21|803,20,22|803,20,23|803,20,24|803,10,25;805,5,25|803,20,26|803,20,27|803,20,28|803,20,29|803,20,30;806,1,30</v>
      </c>
      <c r="N71" s="7"/>
      <c r="O71" s="7"/>
      <c r="P71" s="7"/>
      <c r="Q71" s="7"/>
      <c r="R71" s="15" t="str">
        <f>_xlfn.TEXTJOIN("|",TRUE,R40:R69)</f>
        <v>801,10,1|801,10,2|801,10,3|801,10,4|802,5,5;805,5,5|802,10,6|802,10,7|802,10,8|802,10,9|802,10,10;806,1,10|803,15,11|803,15,12|803,15,13|803,15,14|803,10,15;805,5,15|803,15,16|803,15,17|803,15,18|803,15,19|803,15,20;806,1,20|803,20,21|803,20,22|803,20,23|803,20,24|803,10,25;805,5,25|803,20,26|803,20,27|803,20,28|803,20,29|803,20,30;806,1,30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4</v>
      </c>
      <c r="O79" s="4">
        <f>W79*(1-(N79-1)/6)*1</f>
        <v>1</v>
      </c>
      <c r="P79" s="7">
        <f>W79/6*1</f>
        <v>0.333333333333333</v>
      </c>
      <c r="Q79" s="7">
        <f>W79/6*1</f>
        <v>0.333333333333333</v>
      </c>
      <c r="R79" s="7">
        <f>W79/6*1</f>
        <v>0.333333333333333</v>
      </c>
      <c r="S79" s="7">
        <v>0</v>
      </c>
      <c r="T79" s="7">
        <v>0</v>
      </c>
      <c r="U79" s="7">
        <f t="shared" ref="U79:U108" si="53">SUM(P79:T79)+O79*0.2</f>
        <v>1.2</v>
      </c>
      <c r="V79" s="4">
        <v>1</v>
      </c>
      <c r="W79" s="7">
        <f t="shared" ref="W79:W108" si="54">C2</f>
        <v>2</v>
      </c>
      <c r="X79" s="4">
        <f t="shared" ref="X79:X108" si="55">(O79*W79)^V79</f>
        <v>2</v>
      </c>
      <c r="Y79" s="4">
        <f t="shared" ref="Y79:Y108" si="56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7">$R$77*U79*(AB79+AC79)</f>
        <v>1050</v>
      </c>
      <c r="AE79" s="4">
        <f t="shared" ref="AE79:AE108" si="58">ROUND(AD79/AA79*V79,0)</f>
        <v>53</v>
      </c>
      <c r="AF79" s="4">
        <f t="shared" ref="AF79:AF108" si="59">ROUND(AD79/AA79*V79*AG79,0)</f>
        <v>18</v>
      </c>
      <c r="AG79" s="4">
        <v>0.35</v>
      </c>
      <c r="AH79" s="4">
        <f>AF79</f>
        <v>18</v>
      </c>
    </row>
    <row r="80" customFormat="1" spans="1:34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4</v>
      </c>
      <c r="O80" s="4">
        <f t="shared" ref="O80:O108" si="60">W80*(1-(N80-1)/6)*1</f>
        <v>2</v>
      </c>
      <c r="P80" s="7">
        <f t="shared" ref="P80:P108" si="61">W80/6*1</f>
        <v>0.666666666666667</v>
      </c>
      <c r="Q80" s="7">
        <f t="shared" ref="Q80:Q108" si="62">W80/6*1</f>
        <v>0.666666666666667</v>
      </c>
      <c r="R80" s="7">
        <f t="shared" ref="R80:R108" si="63">W80/6*1</f>
        <v>0.666666666666667</v>
      </c>
      <c r="S80" s="7">
        <v>0</v>
      </c>
      <c r="T80" s="7">
        <v>0</v>
      </c>
      <c r="U80" s="7">
        <f t="shared" si="53"/>
        <v>2.4</v>
      </c>
      <c r="V80" s="4">
        <v>1</v>
      </c>
      <c r="W80" s="7">
        <f t="shared" si="54"/>
        <v>4</v>
      </c>
      <c r="X80" s="4">
        <f t="shared" si="55"/>
        <v>8</v>
      </c>
      <c r="Y80" s="4">
        <f t="shared" si="56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7"/>
        <v>2100</v>
      </c>
      <c r="AE80" s="4">
        <f t="shared" si="58"/>
        <v>105</v>
      </c>
      <c r="AF80" s="4">
        <f t="shared" si="59"/>
        <v>37</v>
      </c>
      <c r="AG80" s="4">
        <v>0.35</v>
      </c>
      <c r="AH80" s="4">
        <f t="shared" ref="AH80:AH108" si="64">AF80</f>
        <v>37</v>
      </c>
    </row>
    <row r="81" customFormat="1" spans="1:34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4</v>
      </c>
      <c r="O81" s="4">
        <f t="shared" si="60"/>
        <v>3</v>
      </c>
      <c r="P81" s="7">
        <f t="shared" si="61"/>
        <v>1</v>
      </c>
      <c r="Q81" s="7">
        <f t="shared" si="62"/>
        <v>1</v>
      </c>
      <c r="R81" s="7">
        <f t="shared" si="63"/>
        <v>1</v>
      </c>
      <c r="S81" s="7">
        <v>0</v>
      </c>
      <c r="T81" s="7">
        <v>0</v>
      </c>
      <c r="U81" s="7">
        <f t="shared" si="53"/>
        <v>3.6</v>
      </c>
      <c r="V81" s="4">
        <v>1</v>
      </c>
      <c r="W81" s="7">
        <f t="shared" si="54"/>
        <v>6</v>
      </c>
      <c r="X81" s="4">
        <f t="shared" si="55"/>
        <v>18</v>
      </c>
      <c r="Y81" s="4">
        <f t="shared" si="56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7"/>
        <v>3150</v>
      </c>
      <c r="AE81" s="4">
        <f t="shared" si="58"/>
        <v>158</v>
      </c>
      <c r="AF81" s="4">
        <f t="shared" si="59"/>
        <v>63</v>
      </c>
      <c r="AG81" s="4">
        <v>0.4</v>
      </c>
      <c r="AH81" s="4">
        <f t="shared" si="64"/>
        <v>63</v>
      </c>
    </row>
    <row r="82" customFormat="1" spans="1:34">
      <c r="A82" s="4">
        <v>4</v>
      </c>
      <c r="B82" s="7">
        <v>1</v>
      </c>
      <c r="C82" s="7"/>
      <c r="D82" s="7"/>
      <c r="E82" s="7"/>
      <c r="F82" s="7"/>
      <c r="G82" s="7"/>
      <c r="H82" s="4">
        <v>1</v>
      </c>
      <c r="I82" s="4"/>
      <c r="J82" s="7"/>
      <c r="K82" s="7"/>
      <c r="L82" s="7">
        <v>0</v>
      </c>
      <c r="M82" s="7">
        <v>0</v>
      </c>
      <c r="N82" s="7">
        <v>4</v>
      </c>
      <c r="O82" s="4">
        <f t="shared" si="60"/>
        <v>3.5</v>
      </c>
      <c r="P82" s="7">
        <f t="shared" si="61"/>
        <v>1.16666666666667</v>
      </c>
      <c r="Q82" s="7">
        <f t="shared" si="62"/>
        <v>1.16666666666667</v>
      </c>
      <c r="R82" s="7">
        <f t="shared" si="63"/>
        <v>1.16666666666667</v>
      </c>
      <c r="S82" s="7">
        <v>0</v>
      </c>
      <c r="T82" s="7">
        <v>0</v>
      </c>
      <c r="U82" s="7">
        <f t="shared" si="53"/>
        <v>4.2</v>
      </c>
      <c r="V82" s="4">
        <v>1</v>
      </c>
      <c r="W82" s="7">
        <f t="shared" si="54"/>
        <v>7</v>
      </c>
      <c r="X82" s="4">
        <f t="shared" si="55"/>
        <v>24.5</v>
      </c>
      <c r="Y82" s="4">
        <f t="shared" si="56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7"/>
        <v>3675</v>
      </c>
      <c r="AE82" s="4">
        <f t="shared" si="58"/>
        <v>184</v>
      </c>
      <c r="AF82" s="4">
        <f t="shared" si="59"/>
        <v>74</v>
      </c>
      <c r="AG82" s="4">
        <v>0.4</v>
      </c>
      <c r="AH82" s="4">
        <f t="shared" si="64"/>
        <v>74</v>
      </c>
    </row>
    <row r="83" customFormat="1" spans="1:34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4</v>
      </c>
      <c r="O83" s="4">
        <f t="shared" si="60"/>
        <v>4.5</v>
      </c>
      <c r="P83" s="7">
        <f t="shared" si="61"/>
        <v>1.5</v>
      </c>
      <c r="Q83" s="7">
        <f t="shared" si="62"/>
        <v>1.5</v>
      </c>
      <c r="R83" s="7">
        <f t="shared" si="63"/>
        <v>1.5</v>
      </c>
      <c r="S83" s="7">
        <v>0</v>
      </c>
      <c r="T83" s="7">
        <v>0</v>
      </c>
      <c r="U83" s="7">
        <f t="shared" si="53"/>
        <v>5.4</v>
      </c>
      <c r="V83" s="4">
        <v>1</v>
      </c>
      <c r="W83" s="7">
        <f t="shared" si="54"/>
        <v>9</v>
      </c>
      <c r="X83" s="4">
        <f t="shared" si="55"/>
        <v>40.5</v>
      </c>
      <c r="Y83" s="4">
        <f t="shared" si="56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7"/>
        <v>4725</v>
      </c>
      <c r="AE83" s="4">
        <f t="shared" si="58"/>
        <v>118</v>
      </c>
      <c r="AF83" s="4">
        <f t="shared" si="59"/>
        <v>53</v>
      </c>
      <c r="AG83" s="4">
        <v>0.45</v>
      </c>
      <c r="AH83" s="4">
        <f t="shared" si="64"/>
        <v>53</v>
      </c>
    </row>
    <row r="84" customFormat="1" spans="1:34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/>
      <c r="K84" s="7"/>
      <c r="L84" s="7">
        <v>0</v>
      </c>
      <c r="M84" s="7">
        <v>0</v>
      </c>
      <c r="N84" s="7">
        <v>4</v>
      </c>
      <c r="O84" s="4">
        <f t="shared" si="60"/>
        <v>5.5</v>
      </c>
      <c r="P84" s="7">
        <f t="shared" si="61"/>
        <v>1.83333333333333</v>
      </c>
      <c r="Q84" s="7">
        <f t="shared" si="62"/>
        <v>1.83333333333333</v>
      </c>
      <c r="R84" s="7">
        <f t="shared" si="63"/>
        <v>1.83333333333333</v>
      </c>
      <c r="S84" s="7">
        <v>0</v>
      </c>
      <c r="T84" s="7">
        <v>0</v>
      </c>
      <c r="U84" s="7">
        <f t="shared" si="53"/>
        <v>6.6</v>
      </c>
      <c r="V84" s="4">
        <v>1</v>
      </c>
      <c r="W84" s="7">
        <f t="shared" si="54"/>
        <v>11</v>
      </c>
      <c r="X84" s="4">
        <f t="shared" si="55"/>
        <v>60.5</v>
      </c>
      <c r="Y84" s="4">
        <f t="shared" si="56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7"/>
        <v>5775</v>
      </c>
      <c r="AE84" s="4">
        <f t="shared" si="58"/>
        <v>289</v>
      </c>
      <c r="AF84" s="4">
        <f t="shared" si="59"/>
        <v>130</v>
      </c>
      <c r="AG84" s="4">
        <v>0.45</v>
      </c>
      <c r="AH84" s="4">
        <f t="shared" si="64"/>
        <v>130</v>
      </c>
    </row>
    <row r="85" customFormat="1" spans="1:34">
      <c r="A85" s="9">
        <v>7</v>
      </c>
      <c r="B85" s="10"/>
      <c r="C85" s="10"/>
      <c r="D85" s="10"/>
      <c r="E85" s="10"/>
      <c r="F85" s="10"/>
      <c r="G85" s="10"/>
      <c r="H85" s="4">
        <v>0.5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 t="shared" si="60"/>
        <v>6.5</v>
      </c>
      <c r="P85" s="7">
        <f t="shared" si="61"/>
        <v>2.16666666666667</v>
      </c>
      <c r="Q85" s="7">
        <f t="shared" si="62"/>
        <v>2.16666666666667</v>
      </c>
      <c r="R85" s="7">
        <f t="shared" si="63"/>
        <v>2.16666666666667</v>
      </c>
      <c r="S85" s="7">
        <v>0</v>
      </c>
      <c r="T85" s="7">
        <v>0</v>
      </c>
      <c r="U85" s="7">
        <f t="shared" si="53"/>
        <v>7.8</v>
      </c>
      <c r="V85" s="4">
        <v>1</v>
      </c>
      <c r="W85" s="7">
        <f t="shared" si="54"/>
        <v>13</v>
      </c>
      <c r="X85" s="4">
        <f t="shared" si="55"/>
        <v>84.5</v>
      </c>
      <c r="Y85" s="4">
        <f t="shared" si="56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7"/>
        <v>6825</v>
      </c>
      <c r="AE85" s="4">
        <f t="shared" si="58"/>
        <v>341</v>
      </c>
      <c r="AF85" s="4">
        <f t="shared" si="59"/>
        <v>154</v>
      </c>
      <c r="AG85" s="4">
        <v>0.45</v>
      </c>
      <c r="AH85" s="4">
        <f t="shared" si="64"/>
        <v>154</v>
      </c>
    </row>
    <row r="86" customFormat="1" spans="1:34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 t="shared" si="60"/>
        <v>7</v>
      </c>
      <c r="P86" s="7">
        <f t="shared" si="61"/>
        <v>2.33333333333333</v>
      </c>
      <c r="Q86" s="7">
        <f t="shared" si="62"/>
        <v>2.33333333333333</v>
      </c>
      <c r="R86" s="7">
        <f t="shared" si="63"/>
        <v>2.33333333333333</v>
      </c>
      <c r="S86" s="7">
        <v>0</v>
      </c>
      <c r="T86" s="7">
        <v>0</v>
      </c>
      <c r="U86" s="7">
        <f t="shared" si="53"/>
        <v>8.4</v>
      </c>
      <c r="V86" s="4">
        <v>1</v>
      </c>
      <c r="W86" s="7">
        <f t="shared" si="54"/>
        <v>14</v>
      </c>
      <c r="X86" s="4">
        <f t="shared" si="55"/>
        <v>98</v>
      </c>
      <c r="Y86" s="4">
        <f t="shared" si="56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7"/>
        <v>7350</v>
      </c>
      <c r="AE86" s="4">
        <f t="shared" si="58"/>
        <v>368</v>
      </c>
      <c r="AF86" s="4">
        <f t="shared" si="59"/>
        <v>165</v>
      </c>
      <c r="AG86" s="4">
        <v>0.45</v>
      </c>
      <c r="AH86" s="4">
        <f t="shared" si="64"/>
        <v>165</v>
      </c>
    </row>
    <row r="87" customFormat="1" spans="1:34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 t="shared" si="60"/>
        <v>8</v>
      </c>
      <c r="P87" s="7">
        <f t="shared" si="61"/>
        <v>2.66666666666667</v>
      </c>
      <c r="Q87" s="7">
        <f t="shared" si="62"/>
        <v>2.66666666666667</v>
      </c>
      <c r="R87" s="7">
        <f t="shared" si="63"/>
        <v>2.66666666666667</v>
      </c>
      <c r="S87" s="7">
        <v>0</v>
      </c>
      <c r="T87" s="7">
        <v>0</v>
      </c>
      <c r="U87" s="7">
        <f t="shared" si="53"/>
        <v>9.6</v>
      </c>
      <c r="V87" s="4">
        <v>1</v>
      </c>
      <c r="W87" s="7">
        <f t="shared" si="54"/>
        <v>16</v>
      </c>
      <c r="X87" s="4">
        <f t="shared" si="55"/>
        <v>128</v>
      </c>
      <c r="Y87" s="4">
        <f t="shared" si="56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7"/>
        <v>8400</v>
      </c>
      <c r="AE87" s="4">
        <f t="shared" si="58"/>
        <v>420</v>
      </c>
      <c r="AF87" s="4">
        <f t="shared" si="59"/>
        <v>189</v>
      </c>
      <c r="AG87" s="4">
        <v>0.45</v>
      </c>
      <c r="AH87" s="4">
        <f t="shared" si="64"/>
        <v>189</v>
      </c>
    </row>
    <row r="88" customFormat="1" spans="1:34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 t="shared" si="60"/>
        <v>9</v>
      </c>
      <c r="P88" s="7">
        <f t="shared" si="61"/>
        <v>3</v>
      </c>
      <c r="Q88" s="7">
        <f t="shared" si="62"/>
        <v>3</v>
      </c>
      <c r="R88" s="7">
        <f t="shared" si="63"/>
        <v>3</v>
      </c>
      <c r="S88" s="7">
        <v>0</v>
      </c>
      <c r="T88" s="7">
        <v>0</v>
      </c>
      <c r="U88" s="7">
        <f t="shared" si="53"/>
        <v>10.8</v>
      </c>
      <c r="V88" s="4">
        <v>1</v>
      </c>
      <c r="W88" s="7">
        <f t="shared" si="54"/>
        <v>18</v>
      </c>
      <c r="X88" s="4">
        <f t="shared" si="55"/>
        <v>162</v>
      </c>
      <c r="Y88" s="4">
        <f t="shared" si="56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7"/>
        <v>9450</v>
      </c>
      <c r="AE88" s="4">
        <f t="shared" si="58"/>
        <v>236</v>
      </c>
      <c r="AF88" s="4">
        <f t="shared" si="59"/>
        <v>118</v>
      </c>
      <c r="AG88" s="4">
        <v>0.5</v>
      </c>
      <c r="AH88" s="4">
        <f t="shared" si="64"/>
        <v>118</v>
      </c>
    </row>
    <row r="89" customFormat="1" spans="1:34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 t="shared" si="60"/>
        <v>10.5</v>
      </c>
      <c r="P89" s="7">
        <f t="shared" si="61"/>
        <v>3.5</v>
      </c>
      <c r="Q89" s="7">
        <f t="shared" si="62"/>
        <v>3.5</v>
      </c>
      <c r="R89" s="7">
        <f t="shared" si="63"/>
        <v>3.5</v>
      </c>
      <c r="S89" s="7">
        <v>0</v>
      </c>
      <c r="T89" s="7">
        <v>0</v>
      </c>
      <c r="U89" s="7">
        <f t="shared" si="53"/>
        <v>12.6</v>
      </c>
      <c r="V89" s="4">
        <v>1</v>
      </c>
      <c r="W89" s="7">
        <f t="shared" si="54"/>
        <v>21</v>
      </c>
      <c r="X89" s="4">
        <f t="shared" si="55"/>
        <v>220.5</v>
      </c>
      <c r="Y89" s="4">
        <f t="shared" si="56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7"/>
        <v>11025</v>
      </c>
      <c r="AE89" s="4">
        <f t="shared" si="58"/>
        <v>368</v>
      </c>
      <c r="AF89" s="4">
        <f t="shared" si="59"/>
        <v>184</v>
      </c>
      <c r="AG89" s="4">
        <v>0.5</v>
      </c>
      <c r="AH89" s="4">
        <f t="shared" si="64"/>
        <v>184</v>
      </c>
    </row>
    <row r="90" customFormat="1" spans="1:34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 t="shared" si="60"/>
        <v>11.5</v>
      </c>
      <c r="P90" s="7">
        <f t="shared" si="61"/>
        <v>3.83333333333333</v>
      </c>
      <c r="Q90" s="7">
        <f t="shared" si="62"/>
        <v>3.83333333333333</v>
      </c>
      <c r="R90" s="7">
        <f t="shared" si="63"/>
        <v>3.83333333333333</v>
      </c>
      <c r="S90" s="7">
        <v>0</v>
      </c>
      <c r="T90" s="7">
        <v>0</v>
      </c>
      <c r="U90" s="7">
        <f t="shared" si="53"/>
        <v>13.8</v>
      </c>
      <c r="V90" s="4">
        <v>1</v>
      </c>
      <c r="W90" s="7">
        <f t="shared" si="54"/>
        <v>23</v>
      </c>
      <c r="X90" s="4">
        <f t="shared" si="55"/>
        <v>264.5</v>
      </c>
      <c r="Y90" s="4">
        <f t="shared" si="56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7"/>
        <v>12075</v>
      </c>
      <c r="AE90" s="4">
        <f t="shared" si="58"/>
        <v>403</v>
      </c>
      <c r="AF90" s="4">
        <f t="shared" si="59"/>
        <v>221</v>
      </c>
      <c r="AG90" s="4">
        <v>0.55</v>
      </c>
      <c r="AH90" s="4">
        <f t="shared" si="64"/>
        <v>221</v>
      </c>
    </row>
    <row r="91" customFormat="1" spans="1:34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 t="shared" si="60"/>
        <v>12.5</v>
      </c>
      <c r="P91" s="7">
        <f t="shared" si="61"/>
        <v>4.16666666666667</v>
      </c>
      <c r="Q91" s="7">
        <f t="shared" si="62"/>
        <v>4.16666666666667</v>
      </c>
      <c r="R91" s="7">
        <f t="shared" si="63"/>
        <v>4.16666666666667</v>
      </c>
      <c r="S91" s="7">
        <v>0</v>
      </c>
      <c r="T91" s="7">
        <v>0</v>
      </c>
      <c r="U91" s="7">
        <f t="shared" si="53"/>
        <v>15</v>
      </c>
      <c r="V91" s="4">
        <v>1</v>
      </c>
      <c r="W91" s="7">
        <f t="shared" si="54"/>
        <v>25</v>
      </c>
      <c r="X91" s="4">
        <f t="shared" si="55"/>
        <v>312.5</v>
      </c>
      <c r="Y91" s="4">
        <f t="shared" si="56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7"/>
        <v>13125</v>
      </c>
      <c r="AE91" s="4">
        <f t="shared" si="58"/>
        <v>438</v>
      </c>
      <c r="AF91" s="4">
        <f t="shared" si="59"/>
        <v>241</v>
      </c>
      <c r="AG91" s="4">
        <v>0.55</v>
      </c>
      <c r="AH91" s="4">
        <f t="shared" si="64"/>
        <v>241</v>
      </c>
    </row>
    <row r="92" customFormat="1" spans="1:34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 t="shared" si="60"/>
        <v>13.5</v>
      </c>
      <c r="P92" s="7">
        <f t="shared" si="61"/>
        <v>4.5</v>
      </c>
      <c r="Q92" s="7">
        <f t="shared" si="62"/>
        <v>4.5</v>
      </c>
      <c r="R92" s="7">
        <f t="shared" si="63"/>
        <v>4.5</v>
      </c>
      <c r="S92" s="7">
        <v>0</v>
      </c>
      <c r="T92" s="7">
        <v>0</v>
      </c>
      <c r="U92" s="7">
        <f t="shared" si="53"/>
        <v>16.2</v>
      </c>
      <c r="V92" s="4">
        <v>1</v>
      </c>
      <c r="W92" s="7">
        <f t="shared" si="54"/>
        <v>27</v>
      </c>
      <c r="X92" s="4">
        <f t="shared" si="55"/>
        <v>364.5</v>
      </c>
      <c r="Y92" s="4">
        <f t="shared" si="56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7"/>
        <v>14175</v>
      </c>
      <c r="AE92" s="4">
        <f t="shared" si="58"/>
        <v>473</v>
      </c>
      <c r="AF92" s="4">
        <f t="shared" si="59"/>
        <v>260</v>
      </c>
      <c r="AG92" s="4">
        <v>0.55</v>
      </c>
      <c r="AH92" s="4">
        <f t="shared" si="64"/>
        <v>260</v>
      </c>
    </row>
    <row r="93" customFormat="1" spans="1:34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 t="shared" si="60"/>
        <v>15</v>
      </c>
      <c r="P93" s="7">
        <f t="shared" si="61"/>
        <v>5</v>
      </c>
      <c r="Q93" s="7">
        <f t="shared" si="62"/>
        <v>5</v>
      </c>
      <c r="R93" s="7">
        <f t="shared" si="63"/>
        <v>5</v>
      </c>
      <c r="S93" s="7">
        <v>0</v>
      </c>
      <c r="T93" s="7">
        <v>0</v>
      </c>
      <c r="U93" s="7">
        <f t="shared" si="53"/>
        <v>18</v>
      </c>
      <c r="V93" s="4">
        <v>1.1</v>
      </c>
      <c r="W93" s="7">
        <f t="shared" si="54"/>
        <v>30</v>
      </c>
      <c r="X93" s="4">
        <f t="shared" si="55"/>
        <v>828.960363063275</v>
      </c>
      <c r="Y93" s="4">
        <f t="shared" si="56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7"/>
        <v>15750</v>
      </c>
      <c r="AE93" s="4">
        <f t="shared" si="58"/>
        <v>433</v>
      </c>
      <c r="AF93" s="4">
        <f t="shared" si="59"/>
        <v>260</v>
      </c>
      <c r="AG93" s="4">
        <v>0.6</v>
      </c>
      <c r="AH93" s="4">
        <f t="shared" si="64"/>
        <v>260</v>
      </c>
    </row>
    <row r="94" customFormat="1" spans="1:34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 t="shared" si="60"/>
        <v>16</v>
      </c>
      <c r="P94" s="7">
        <f t="shared" si="61"/>
        <v>5.33333333333333</v>
      </c>
      <c r="Q94" s="7">
        <f t="shared" si="62"/>
        <v>5.33333333333333</v>
      </c>
      <c r="R94" s="7">
        <f t="shared" si="63"/>
        <v>5.33333333333333</v>
      </c>
      <c r="S94" s="7">
        <v>0</v>
      </c>
      <c r="T94" s="7">
        <v>0</v>
      </c>
      <c r="U94" s="7">
        <f t="shared" si="53"/>
        <v>19.2</v>
      </c>
      <c r="V94" s="4">
        <v>1.1</v>
      </c>
      <c r="W94" s="7">
        <f t="shared" si="54"/>
        <v>32</v>
      </c>
      <c r="X94" s="4">
        <f t="shared" si="55"/>
        <v>955.425783333691</v>
      </c>
      <c r="Y94" s="4">
        <f t="shared" si="56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57"/>
        <v>16800</v>
      </c>
      <c r="AE94" s="4">
        <f t="shared" si="58"/>
        <v>616</v>
      </c>
      <c r="AF94" s="4">
        <f t="shared" si="59"/>
        <v>370</v>
      </c>
      <c r="AG94" s="4">
        <v>0.6</v>
      </c>
      <c r="AH94" s="4">
        <f t="shared" si="64"/>
        <v>370</v>
      </c>
    </row>
    <row r="95" customFormat="1" spans="1:34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 t="shared" si="60"/>
        <v>17</v>
      </c>
      <c r="P95" s="7">
        <f t="shared" si="61"/>
        <v>5.66666666666667</v>
      </c>
      <c r="Q95" s="7">
        <f t="shared" si="62"/>
        <v>5.66666666666667</v>
      </c>
      <c r="R95" s="7">
        <f t="shared" si="63"/>
        <v>5.66666666666667</v>
      </c>
      <c r="S95" s="7">
        <v>0</v>
      </c>
      <c r="T95" s="7">
        <v>0</v>
      </c>
      <c r="U95" s="7">
        <f t="shared" si="53"/>
        <v>20.4</v>
      </c>
      <c r="V95" s="4">
        <v>1.1</v>
      </c>
      <c r="W95" s="7">
        <f t="shared" si="54"/>
        <v>34</v>
      </c>
      <c r="X95" s="4">
        <f t="shared" si="55"/>
        <v>1091.74351848939</v>
      </c>
      <c r="Y95" s="4">
        <f t="shared" si="56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57"/>
        <v>17850</v>
      </c>
      <c r="AE95" s="4">
        <f t="shared" si="58"/>
        <v>655</v>
      </c>
      <c r="AF95" s="4">
        <f t="shared" si="59"/>
        <v>393</v>
      </c>
      <c r="AG95" s="4">
        <v>0.6</v>
      </c>
      <c r="AH95" s="4">
        <f t="shared" si="64"/>
        <v>393</v>
      </c>
    </row>
    <row r="96" customFormat="1" spans="1:34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 t="shared" si="60"/>
        <v>18</v>
      </c>
      <c r="P96" s="7">
        <f t="shared" si="61"/>
        <v>6</v>
      </c>
      <c r="Q96" s="7">
        <f t="shared" si="62"/>
        <v>6</v>
      </c>
      <c r="R96" s="7">
        <f t="shared" si="63"/>
        <v>6</v>
      </c>
      <c r="S96" s="7">
        <v>0</v>
      </c>
      <c r="T96" s="7">
        <v>0</v>
      </c>
      <c r="U96" s="7">
        <f t="shared" si="53"/>
        <v>21.6</v>
      </c>
      <c r="V96" s="4">
        <v>1.1</v>
      </c>
      <c r="W96" s="7">
        <f t="shared" si="54"/>
        <v>36</v>
      </c>
      <c r="X96" s="4">
        <f t="shared" si="55"/>
        <v>1238.03381363756</v>
      </c>
      <c r="Y96" s="4">
        <f t="shared" si="56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57"/>
        <v>18900</v>
      </c>
      <c r="AE96" s="4">
        <f t="shared" si="58"/>
        <v>693</v>
      </c>
      <c r="AF96" s="4">
        <f t="shared" si="59"/>
        <v>450</v>
      </c>
      <c r="AG96" s="4">
        <v>0.65</v>
      </c>
      <c r="AH96" s="4">
        <f t="shared" si="64"/>
        <v>450</v>
      </c>
    </row>
    <row r="97" customFormat="1" spans="1:34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 t="shared" si="60"/>
        <v>19.5</v>
      </c>
      <c r="P97" s="7">
        <f t="shared" si="61"/>
        <v>6.5</v>
      </c>
      <c r="Q97" s="7">
        <f t="shared" si="62"/>
        <v>6.5</v>
      </c>
      <c r="R97" s="7">
        <f t="shared" si="63"/>
        <v>6.5</v>
      </c>
      <c r="S97" s="7">
        <v>0</v>
      </c>
      <c r="T97" s="7">
        <v>0</v>
      </c>
      <c r="U97" s="7">
        <f t="shared" si="53"/>
        <v>23.4</v>
      </c>
      <c r="V97" s="4">
        <v>1.1</v>
      </c>
      <c r="W97" s="7">
        <f t="shared" si="54"/>
        <v>39</v>
      </c>
      <c r="X97" s="4">
        <f t="shared" si="55"/>
        <v>1476.41735033167</v>
      </c>
      <c r="Y97" s="4">
        <f t="shared" si="56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57"/>
        <v>20475</v>
      </c>
      <c r="AE97" s="4">
        <f t="shared" si="58"/>
        <v>751</v>
      </c>
      <c r="AF97" s="4">
        <f t="shared" si="59"/>
        <v>488</v>
      </c>
      <c r="AG97" s="4">
        <v>0.65</v>
      </c>
      <c r="AH97" s="4">
        <f t="shared" si="64"/>
        <v>488</v>
      </c>
    </row>
    <row r="98" customFormat="1" spans="1:34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 t="shared" si="60"/>
        <v>20.5</v>
      </c>
      <c r="P98" s="7">
        <f t="shared" si="61"/>
        <v>6.83333333333333</v>
      </c>
      <c r="Q98" s="7">
        <f t="shared" si="62"/>
        <v>6.83333333333333</v>
      </c>
      <c r="R98" s="7">
        <f t="shared" si="63"/>
        <v>6.83333333333333</v>
      </c>
      <c r="S98" s="7">
        <v>0</v>
      </c>
      <c r="T98" s="7">
        <v>0</v>
      </c>
      <c r="U98" s="7">
        <f t="shared" si="53"/>
        <v>24.6</v>
      </c>
      <c r="V98" s="4">
        <v>1.2</v>
      </c>
      <c r="W98" s="7">
        <f t="shared" si="54"/>
        <v>41</v>
      </c>
      <c r="X98" s="4">
        <f t="shared" si="55"/>
        <v>3231.80583948089</v>
      </c>
      <c r="Y98" s="4">
        <f t="shared" si="56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7"/>
        <v>21525</v>
      </c>
      <c r="AE98" s="4">
        <f t="shared" si="58"/>
        <v>646</v>
      </c>
      <c r="AF98" s="4">
        <f t="shared" si="59"/>
        <v>420</v>
      </c>
      <c r="AG98" s="4">
        <v>0.65</v>
      </c>
      <c r="AH98" s="4">
        <f t="shared" si="64"/>
        <v>420</v>
      </c>
    </row>
    <row r="99" spans="1:34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 t="shared" si="60"/>
        <v>22</v>
      </c>
      <c r="P99" s="7">
        <f t="shared" si="61"/>
        <v>7.33333333333333</v>
      </c>
      <c r="Q99" s="7">
        <f t="shared" si="62"/>
        <v>7.33333333333333</v>
      </c>
      <c r="R99" s="7">
        <f t="shared" si="63"/>
        <v>7.33333333333333</v>
      </c>
      <c r="S99" s="7">
        <v>0</v>
      </c>
      <c r="T99" s="7">
        <v>0</v>
      </c>
      <c r="U99" s="7">
        <f t="shared" si="53"/>
        <v>26.4</v>
      </c>
      <c r="V99" s="4">
        <v>1.2</v>
      </c>
      <c r="W99" s="7">
        <f t="shared" si="54"/>
        <v>44</v>
      </c>
      <c r="X99" s="4">
        <f t="shared" si="55"/>
        <v>3828.69198180155</v>
      </c>
      <c r="Y99" s="4">
        <f t="shared" si="56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7"/>
        <v>23100</v>
      </c>
      <c r="AE99" s="4">
        <f t="shared" si="58"/>
        <v>1386</v>
      </c>
      <c r="AF99" s="4">
        <f t="shared" si="59"/>
        <v>970</v>
      </c>
      <c r="AG99" s="4">
        <v>0.7</v>
      </c>
      <c r="AH99" s="4">
        <f t="shared" si="64"/>
        <v>970</v>
      </c>
    </row>
    <row r="100" spans="1:34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 t="shared" si="60"/>
        <v>23</v>
      </c>
      <c r="P100" s="7">
        <f t="shared" si="61"/>
        <v>7.66666666666667</v>
      </c>
      <c r="Q100" s="7">
        <f t="shared" si="62"/>
        <v>7.66666666666667</v>
      </c>
      <c r="R100" s="7">
        <f t="shared" si="63"/>
        <v>7.66666666666667</v>
      </c>
      <c r="S100" s="7">
        <v>0</v>
      </c>
      <c r="T100" s="7">
        <v>0</v>
      </c>
      <c r="U100" s="7">
        <f t="shared" si="53"/>
        <v>27.6</v>
      </c>
      <c r="V100" s="4">
        <v>1.2</v>
      </c>
      <c r="W100" s="7">
        <f t="shared" si="54"/>
        <v>46</v>
      </c>
      <c r="X100" s="4">
        <f t="shared" si="55"/>
        <v>4259.73714752957</v>
      </c>
      <c r="Y100" s="4">
        <f t="shared" si="56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7"/>
        <v>24150</v>
      </c>
      <c r="AE100" s="4">
        <f t="shared" si="58"/>
        <v>1449</v>
      </c>
      <c r="AF100" s="4">
        <f t="shared" si="59"/>
        <v>1014</v>
      </c>
      <c r="AG100" s="4">
        <v>0.7</v>
      </c>
      <c r="AH100" s="4">
        <f t="shared" si="64"/>
        <v>1014</v>
      </c>
    </row>
    <row r="101" spans="1:34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si="60"/>
        <v>24.5</v>
      </c>
      <c r="P101" s="7">
        <f t="shared" si="61"/>
        <v>8.16666666666667</v>
      </c>
      <c r="Q101" s="7">
        <f t="shared" si="62"/>
        <v>8.16666666666667</v>
      </c>
      <c r="R101" s="7">
        <f t="shared" si="63"/>
        <v>8.16666666666667</v>
      </c>
      <c r="S101" s="7">
        <v>0</v>
      </c>
      <c r="T101" s="7">
        <v>0</v>
      </c>
      <c r="U101" s="7">
        <f t="shared" si="53"/>
        <v>29.4</v>
      </c>
      <c r="V101" s="4">
        <v>1.2</v>
      </c>
      <c r="W101" s="7">
        <f t="shared" si="54"/>
        <v>49</v>
      </c>
      <c r="X101" s="4">
        <f t="shared" si="55"/>
        <v>4957.17895476192</v>
      </c>
      <c r="Y101" s="4">
        <f t="shared" si="56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7"/>
        <v>25725</v>
      </c>
      <c r="AE101" s="4">
        <f t="shared" si="58"/>
        <v>1544</v>
      </c>
      <c r="AF101" s="4">
        <f t="shared" si="59"/>
        <v>1158</v>
      </c>
      <c r="AG101" s="4">
        <v>0.75</v>
      </c>
      <c r="AH101" s="4">
        <f t="shared" si="64"/>
        <v>1158</v>
      </c>
    </row>
    <row r="102" spans="1:34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60"/>
        <v>25.5</v>
      </c>
      <c r="P102" s="7">
        <f t="shared" si="61"/>
        <v>8.5</v>
      </c>
      <c r="Q102" s="7">
        <f t="shared" si="62"/>
        <v>8.5</v>
      </c>
      <c r="R102" s="7">
        <f t="shared" si="63"/>
        <v>8.5</v>
      </c>
      <c r="S102" s="7">
        <v>0</v>
      </c>
      <c r="T102" s="7">
        <v>0</v>
      </c>
      <c r="U102" s="7">
        <f t="shared" si="53"/>
        <v>30.6</v>
      </c>
      <c r="V102" s="4">
        <v>1.2</v>
      </c>
      <c r="W102" s="7">
        <f t="shared" si="54"/>
        <v>51</v>
      </c>
      <c r="X102" s="4">
        <f t="shared" si="55"/>
        <v>5456.72952875299</v>
      </c>
      <c r="Y102" s="4">
        <f t="shared" si="56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7"/>
        <v>26775</v>
      </c>
      <c r="AE102" s="4">
        <f t="shared" si="58"/>
        <v>1607</v>
      </c>
      <c r="AF102" s="4">
        <f t="shared" si="59"/>
        <v>1205</v>
      </c>
      <c r="AG102" s="4">
        <v>0.75</v>
      </c>
      <c r="AH102" s="4">
        <f t="shared" si="64"/>
        <v>1205</v>
      </c>
    </row>
    <row r="103" spans="1:34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60"/>
        <v>27</v>
      </c>
      <c r="P103" s="7">
        <f t="shared" si="61"/>
        <v>9</v>
      </c>
      <c r="Q103" s="7">
        <f t="shared" si="62"/>
        <v>9</v>
      </c>
      <c r="R103" s="7">
        <f t="shared" si="63"/>
        <v>9</v>
      </c>
      <c r="S103" s="7">
        <v>0</v>
      </c>
      <c r="T103" s="7">
        <v>0</v>
      </c>
      <c r="U103" s="7">
        <f t="shared" si="53"/>
        <v>32.4</v>
      </c>
      <c r="V103" s="4">
        <v>1.3</v>
      </c>
      <c r="W103" s="7">
        <f t="shared" si="54"/>
        <v>54</v>
      </c>
      <c r="X103" s="4">
        <f t="shared" si="55"/>
        <v>12968.3517348442</v>
      </c>
      <c r="Y103" s="4">
        <f t="shared" si="56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7"/>
        <v>28350</v>
      </c>
      <c r="AE103" s="4">
        <f t="shared" si="58"/>
        <v>921</v>
      </c>
      <c r="AF103" s="4">
        <f t="shared" si="59"/>
        <v>737</v>
      </c>
      <c r="AG103" s="4">
        <v>0.8</v>
      </c>
      <c r="AH103" s="4">
        <f t="shared" si="64"/>
        <v>737</v>
      </c>
    </row>
    <row r="104" spans="1:34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4</v>
      </c>
      <c r="O104" s="4">
        <f t="shared" si="60"/>
        <v>28</v>
      </c>
      <c r="P104" s="7">
        <f t="shared" si="61"/>
        <v>9.33333333333333</v>
      </c>
      <c r="Q104" s="7">
        <f t="shared" si="62"/>
        <v>9.33333333333333</v>
      </c>
      <c r="R104" s="7">
        <f t="shared" si="63"/>
        <v>9.33333333333333</v>
      </c>
      <c r="S104" s="7">
        <v>0</v>
      </c>
      <c r="T104" s="7">
        <v>0</v>
      </c>
      <c r="U104" s="7">
        <f t="shared" si="53"/>
        <v>33.6</v>
      </c>
      <c r="V104" s="4">
        <v>1.3</v>
      </c>
      <c r="W104" s="7">
        <f t="shared" si="54"/>
        <v>56</v>
      </c>
      <c r="X104" s="4">
        <f t="shared" si="55"/>
        <v>14254.4306643417</v>
      </c>
      <c r="Y104" s="4">
        <f t="shared" si="56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7"/>
        <v>29400</v>
      </c>
      <c r="AE104" s="4">
        <f t="shared" si="58"/>
        <v>1911</v>
      </c>
      <c r="AF104" s="4">
        <f t="shared" si="59"/>
        <v>1529</v>
      </c>
      <c r="AG104" s="4">
        <v>0.8</v>
      </c>
      <c r="AH104" s="4">
        <f t="shared" si="64"/>
        <v>1529</v>
      </c>
    </row>
    <row r="105" spans="1:34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4</v>
      </c>
      <c r="O105" s="4">
        <f t="shared" si="60"/>
        <v>29.5</v>
      </c>
      <c r="P105" s="7">
        <f t="shared" si="61"/>
        <v>9.83333333333333</v>
      </c>
      <c r="Q105" s="7">
        <f t="shared" si="62"/>
        <v>9.83333333333333</v>
      </c>
      <c r="R105" s="7">
        <f t="shared" si="63"/>
        <v>9.83333333333333</v>
      </c>
      <c r="S105" s="7">
        <v>0</v>
      </c>
      <c r="T105" s="7">
        <v>0</v>
      </c>
      <c r="U105" s="7">
        <f t="shared" si="53"/>
        <v>35.4</v>
      </c>
      <c r="V105" s="4">
        <v>1.3</v>
      </c>
      <c r="W105" s="7">
        <f t="shared" si="54"/>
        <v>59</v>
      </c>
      <c r="X105" s="4">
        <f t="shared" si="55"/>
        <v>16325.8663137191</v>
      </c>
      <c r="Y105" s="4">
        <f t="shared" si="56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7"/>
        <v>30975</v>
      </c>
      <c r="AE105" s="4">
        <f t="shared" si="58"/>
        <v>2013</v>
      </c>
      <c r="AF105" s="4">
        <f t="shared" si="59"/>
        <v>1711</v>
      </c>
      <c r="AG105" s="4">
        <v>0.85</v>
      </c>
      <c r="AH105" s="4">
        <f t="shared" si="64"/>
        <v>1711</v>
      </c>
    </row>
    <row r="106" spans="1:34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4</v>
      </c>
      <c r="O106" s="4">
        <f t="shared" si="60"/>
        <v>30.5</v>
      </c>
      <c r="P106" s="7">
        <f t="shared" si="61"/>
        <v>10.1666666666667</v>
      </c>
      <c r="Q106" s="7">
        <f t="shared" si="62"/>
        <v>10.1666666666667</v>
      </c>
      <c r="R106" s="7">
        <f t="shared" si="63"/>
        <v>10.1666666666667</v>
      </c>
      <c r="S106" s="7">
        <v>0</v>
      </c>
      <c r="T106" s="7">
        <v>0</v>
      </c>
      <c r="U106" s="7">
        <f t="shared" si="53"/>
        <v>36.6</v>
      </c>
      <c r="V106" s="4">
        <v>1.3</v>
      </c>
      <c r="W106" s="7">
        <f t="shared" si="54"/>
        <v>61</v>
      </c>
      <c r="X106" s="4">
        <f t="shared" si="55"/>
        <v>17804.0406285418</v>
      </c>
      <c r="Y106" s="4">
        <f t="shared" si="56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7"/>
        <v>32025</v>
      </c>
      <c r="AE106" s="4">
        <f t="shared" si="58"/>
        <v>2082</v>
      </c>
      <c r="AF106" s="4">
        <f t="shared" si="59"/>
        <v>1769</v>
      </c>
      <c r="AG106" s="4">
        <v>0.85</v>
      </c>
      <c r="AH106" s="4">
        <f t="shared" si="64"/>
        <v>1769</v>
      </c>
    </row>
    <row r="107" spans="1:34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4</v>
      </c>
      <c r="O107" s="4">
        <f t="shared" si="60"/>
        <v>32</v>
      </c>
      <c r="P107" s="7">
        <f t="shared" si="61"/>
        <v>10.6666666666667</v>
      </c>
      <c r="Q107" s="7">
        <f t="shared" si="62"/>
        <v>10.6666666666667</v>
      </c>
      <c r="R107" s="7">
        <f t="shared" si="63"/>
        <v>10.6666666666667</v>
      </c>
      <c r="S107" s="7">
        <v>0</v>
      </c>
      <c r="T107" s="7">
        <v>0</v>
      </c>
      <c r="U107" s="7">
        <f t="shared" si="53"/>
        <v>38.4</v>
      </c>
      <c r="V107" s="4">
        <v>1.3</v>
      </c>
      <c r="W107" s="7">
        <f t="shared" si="54"/>
        <v>64</v>
      </c>
      <c r="X107" s="4">
        <f t="shared" si="55"/>
        <v>20171.0700682431</v>
      </c>
      <c r="Y107" s="4">
        <f t="shared" si="56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7"/>
        <v>33600</v>
      </c>
      <c r="AE107" s="4">
        <f t="shared" si="58"/>
        <v>2184</v>
      </c>
      <c r="AF107" s="4">
        <f t="shared" si="59"/>
        <v>1966</v>
      </c>
      <c r="AG107" s="4">
        <v>0.9</v>
      </c>
      <c r="AH107" s="4">
        <f t="shared" si="64"/>
        <v>1966</v>
      </c>
    </row>
    <row r="108" spans="1:34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4</v>
      </c>
      <c r="O108" s="4">
        <f t="shared" si="60"/>
        <v>33</v>
      </c>
      <c r="P108" s="7">
        <f t="shared" si="61"/>
        <v>11</v>
      </c>
      <c r="Q108" s="7">
        <f t="shared" si="62"/>
        <v>11</v>
      </c>
      <c r="R108" s="7">
        <f t="shared" si="63"/>
        <v>11</v>
      </c>
      <c r="S108" s="7">
        <v>0</v>
      </c>
      <c r="T108" s="7">
        <v>0</v>
      </c>
      <c r="U108" s="7">
        <f t="shared" si="53"/>
        <v>39.6</v>
      </c>
      <c r="V108" s="4">
        <v>1.4</v>
      </c>
      <c r="W108" s="7">
        <f t="shared" si="54"/>
        <v>66</v>
      </c>
      <c r="X108" s="4">
        <f t="shared" si="55"/>
        <v>47128.2187540054</v>
      </c>
      <c r="Y108" s="4">
        <f t="shared" si="56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7"/>
        <v>34650</v>
      </c>
      <c r="AE108" s="4">
        <f t="shared" si="58"/>
        <v>1213</v>
      </c>
      <c r="AF108" s="4">
        <f t="shared" si="59"/>
        <v>1213</v>
      </c>
      <c r="AG108" s="4">
        <v>1</v>
      </c>
      <c r="AH108" s="4">
        <f t="shared" si="64"/>
        <v>1213</v>
      </c>
    </row>
    <row r="109" spans="15:16">
      <c r="O109" s="4"/>
      <c r="P109" s="4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11"/>
  <sheetViews>
    <sheetView workbookViewId="0">
      <selection activeCell="AH79" sqref="AH79:AH108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0" width="12.8888888888889"/>
    <col min="21" max="21" width="14.0277777777778" customWidth="1"/>
    <col min="24" max="24" width="12.8888888888889"/>
    <col min="29" max="29" width="8.88888888888889" style="7"/>
    <col min="30" max="30" width="12.8888888888889"/>
    <col min="35" max="35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1001</v>
      </c>
      <c r="Y1" s="7">
        <v>3</v>
      </c>
      <c r="Z1" s="4">
        <v>1002</v>
      </c>
      <c r="AA1" s="7">
        <v>1003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21" si="0">ROUNDDOWN((B2-M2)/$X$6,0)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1001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>
        <v>0</v>
      </c>
      <c r="N2" s="7">
        <f>IF(A2&lt;5,$X$1,IF(A2&gt;10,$AA$1,$Z$1))</f>
        <v>1001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21" si="7">SUM(J2,L2)+15</f>
        <v>25</v>
      </c>
      <c r="V2" s="7">
        <v>2</v>
      </c>
      <c r="W2" s="4" t="s">
        <v>577</v>
      </c>
      <c r="X2" s="8">
        <v>1005</v>
      </c>
      <c r="Y2" s="4">
        <v>5</v>
      </c>
      <c r="AA2" s="7"/>
      <c r="AB2" s="4">
        <v>70</v>
      </c>
      <c r="AC2" s="7">
        <v>50</v>
      </c>
    </row>
    <row r="3" spans="1:27">
      <c r="A3" s="7">
        <v>2</v>
      </c>
      <c r="B3" s="7">
        <f>B2+$AB$2</f>
        <v>170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1001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>
        <v>0</v>
      </c>
      <c r="N3" s="7">
        <f>IF(A3&lt;5,$X$1,IF(A3&gt;10,$AA$1,$Z$1))</f>
        <v>1001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1006</v>
      </c>
      <c r="Y3" s="7">
        <v>10</v>
      </c>
      <c r="AA3" s="7"/>
    </row>
    <row r="4" spans="1:27">
      <c r="A4" s="7">
        <v>3</v>
      </c>
      <c r="B4" s="7">
        <f>B3+$AB$2</f>
        <v>240</v>
      </c>
      <c r="C4" s="7">
        <f t="shared" si="0"/>
        <v>6</v>
      </c>
      <c r="D4" s="7">
        <v>1</v>
      </c>
      <c r="E4" s="7">
        <f t="shared" si="1"/>
        <v>1.5</v>
      </c>
      <c r="F4" s="7">
        <f t="shared" si="2"/>
        <v>5</v>
      </c>
      <c r="G4" s="7">
        <f t="shared" si="3"/>
        <v>3.75</v>
      </c>
      <c r="H4" s="7">
        <v>1</v>
      </c>
      <c r="I4" s="7">
        <f>IF(A4&lt;5,$X$1,IF(A4&gt;10,$AA$1,$Z$1))</f>
        <v>1001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>
        <v>0</v>
      </c>
      <c r="N4" s="7">
        <f>IF(A4&lt;5,$X$1,IF(A4&gt;10,$AA$1,$Z$1))</f>
        <v>1001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f>B4+$AB$2</f>
        <v>310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>IF(A5&lt;5,$X$1,IF(A5&gt;10,$AA$1,$Z$1))</f>
        <v>1001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>
        <v>0</v>
      </c>
      <c r="N5" s="7">
        <f>IF(A5&lt;5,$X$1,IF(A5&gt;10,$AA$1,$Z$1))</f>
        <v>1001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</f>
        <v>380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>IF(A6&lt;5,$X$1,IF(A6&gt;10,$AA$1,$Z$1))</f>
        <v>1002</v>
      </c>
      <c r="J6" s="7">
        <v>5</v>
      </c>
      <c r="K6" s="7">
        <f>IF(H6=1,"",INDEX($X$1:$X$3,MATCH(H6,$V$1:$V$3,0)))</f>
        <v>1005</v>
      </c>
      <c r="L6" s="7">
        <f t="shared" si="4"/>
        <v>5</v>
      </c>
      <c r="M6" s="7">
        <v>0</v>
      </c>
      <c r="N6" s="7">
        <f>IF(A6&lt;5,$X$1,IF(A6&gt;10,$AA$1,$Z$1))</f>
        <v>1002</v>
      </c>
      <c r="O6" s="7">
        <v>5</v>
      </c>
      <c r="P6" s="7">
        <f>IF(H6=1,"",INDEX($X$1:$X$3,MATCH(H6,$V$1:$V$3,0)))</f>
        <v>1005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f>B6+$AB$2</f>
        <v>450</v>
      </c>
      <c r="C7" s="7">
        <f t="shared" si="0"/>
        <v>11</v>
      </c>
      <c r="D7" s="7">
        <v>2</v>
      </c>
      <c r="E7" s="7">
        <f t="shared" si="1"/>
        <v>2.25</v>
      </c>
      <c r="F7" s="7">
        <f t="shared" si="2"/>
        <v>9</v>
      </c>
      <c r="G7" s="7">
        <f t="shared" si="3"/>
        <v>10.125</v>
      </c>
      <c r="H7" s="7">
        <v>1</v>
      </c>
      <c r="I7" s="7">
        <f>IF(A7&lt;5,$X$1,IF(A7&gt;10,$AA$1,$Z$1))</f>
        <v>1002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>
        <v>0</v>
      </c>
      <c r="N7" s="7">
        <f>IF(A7&lt;5,$X$1,IF(A7&gt;10,$AA$1,$Z$1))</f>
        <v>1002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f>B7+$AB$2</f>
        <v>520</v>
      </c>
      <c r="C8" s="7">
        <f t="shared" si="0"/>
        <v>13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1002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>
        <v>0</v>
      </c>
      <c r="N8" s="7">
        <f>IF(A8&lt;5,$X$1,IF(A8&gt;10,$AA$1,$Z$1))</f>
        <v>1002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f>B8+$AB$2</f>
        <v>590</v>
      </c>
      <c r="C9" s="7">
        <f t="shared" si="0"/>
        <v>14</v>
      </c>
      <c r="D9" s="7">
        <v>3</v>
      </c>
      <c r="E9" s="7">
        <f t="shared" si="1"/>
        <v>3</v>
      </c>
      <c r="F9" s="7">
        <f t="shared" si="2"/>
        <v>11</v>
      </c>
      <c r="G9" s="7">
        <f t="shared" si="3"/>
        <v>16.5</v>
      </c>
      <c r="H9" s="7">
        <v>1</v>
      </c>
      <c r="I9" s="7">
        <f>IF(A9&lt;5,$X$1,IF(A9&gt;10,$AA$1,$Z$1))</f>
        <v>1002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>
        <v>0</v>
      </c>
      <c r="N9" s="7">
        <f>IF(A9&lt;5,$X$1,IF(A9&gt;10,$AA$1,$Z$1))</f>
        <v>1002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f>B9+$AB$2</f>
        <v>660</v>
      </c>
      <c r="C10" s="7">
        <f t="shared" si="0"/>
        <v>16</v>
      </c>
      <c r="D10" s="7">
        <v>4</v>
      </c>
      <c r="E10" s="7">
        <f t="shared" si="1"/>
        <v>3.75</v>
      </c>
      <c r="F10" s="7">
        <f t="shared" si="2"/>
        <v>13</v>
      </c>
      <c r="G10" s="7">
        <f t="shared" si="3"/>
        <v>24.375</v>
      </c>
      <c r="H10" s="7">
        <v>1</v>
      </c>
      <c r="I10" s="7">
        <f>IF(A10&lt;5,$X$1,IF(A10&gt;10,$AA$1,$Z$1))</f>
        <v>1002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>
        <v>0</v>
      </c>
      <c r="N10" s="7">
        <f>IF(A10&lt;5,$X$1,IF(A10&gt;10,$AA$1,$Z$1))</f>
        <v>1002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f>B10+$AB$2+25</f>
        <v>755</v>
      </c>
      <c r="C11" s="7">
        <f t="shared" si="0"/>
        <v>18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>IF(A11&lt;5,$X$1,IF(A11&gt;10,$AA$1,$Z$1))</f>
        <v>1002</v>
      </c>
      <c r="J11" s="7">
        <v>10</v>
      </c>
      <c r="K11" s="7">
        <f>IF(H11=1,"",INDEX($X$1:$X$3,MATCH(H11,$V$1:$V$3,0)))</f>
        <v>1006</v>
      </c>
      <c r="L11" s="7">
        <f t="shared" si="4"/>
        <v>1</v>
      </c>
      <c r="M11" s="7">
        <v>0</v>
      </c>
      <c r="N11" s="7">
        <f>IF(A11&lt;5,$X$1,IF(A11&gt;10,$AA$1,$Z$1))</f>
        <v>1002</v>
      </c>
      <c r="O11" s="7">
        <v>10</v>
      </c>
      <c r="P11" s="7">
        <f>IF(H11=1,"",INDEX($X$1:$X$3,MATCH(H11,$V$1:$V$3,0)))</f>
        <v>1006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f>B11+$AB$2+25</f>
        <v>850</v>
      </c>
      <c r="C12" s="7">
        <f t="shared" si="0"/>
        <v>21</v>
      </c>
      <c r="D12" s="7">
        <v>5</v>
      </c>
      <c r="E12" s="7"/>
      <c r="F12" s="7">
        <f t="shared" si="2"/>
        <v>17</v>
      </c>
      <c r="G12" s="7">
        <f t="shared" ref="G12:G14" si="10">($G$15-$G$11)/4+G11</f>
        <v>42.45</v>
      </c>
      <c r="H12" s="7">
        <v>1</v>
      </c>
      <c r="I12" s="7">
        <f>IF(A12&lt;5,$X$1,IF(A12&gt;10,$AA$1,$Z$1))</f>
        <v>1003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>
        <v>0</v>
      </c>
      <c r="N12" s="7">
        <f>IF(A12&lt;5,$X$1,IF(A12&gt;10,$AA$1,$Z$1))</f>
        <v>1003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>B12+$AB$2+25</f>
        <v>945</v>
      </c>
      <c r="C13" s="7">
        <f t="shared" si="0"/>
        <v>23</v>
      </c>
      <c r="D13" s="7">
        <v>8</v>
      </c>
      <c r="E13" s="7"/>
      <c r="F13" s="7">
        <f t="shared" si="2"/>
        <v>18</v>
      </c>
      <c r="G13" s="7">
        <f t="shared" si="10"/>
        <v>49.9</v>
      </c>
      <c r="H13" s="7">
        <v>1</v>
      </c>
      <c r="I13" s="7">
        <f>IF(A13&lt;5,$X$1,IF(A13&gt;10,$AA$1,$Z$1))</f>
        <v>1003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>
        <v>0</v>
      </c>
      <c r="N13" s="7">
        <f>IF(A13&lt;5,$X$1,IF(A13&gt;10,$AA$1,$Z$1))</f>
        <v>1003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>B13+$AB$2+25</f>
        <v>1040</v>
      </c>
      <c r="C14" s="7">
        <f t="shared" si="0"/>
        <v>26</v>
      </c>
      <c r="D14" s="7">
        <v>9</v>
      </c>
      <c r="E14" s="7"/>
      <c r="F14" s="7">
        <f t="shared" si="2"/>
        <v>21</v>
      </c>
      <c r="G14" s="7">
        <f t="shared" si="10"/>
        <v>57.35</v>
      </c>
      <c r="H14" s="7">
        <v>1</v>
      </c>
      <c r="I14" s="7">
        <f>IF(A14&lt;5,$X$1,IF(A14&gt;10,$AA$1,$Z$1))</f>
        <v>1003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>
        <v>0</v>
      </c>
      <c r="N14" s="7">
        <f>IF(A14&lt;5,$X$1,IF(A14&gt;10,$AA$1,$Z$1))</f>
        <v>1003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f>B14+$AB$2+25</f>
        <v>1135</v>
      </c>
      <c r="C15" s="7">
        <f t="shared" si="0"/>
        <v>28</v>
      </c>
      <c r="D15" s="7">
        <v>10</v>
      </c>
      <c r="E15" s="7"/>
      <c r="F15" s="7">
        <f t="shared" si="2"/>
        <v>22</v>
      </c>
      <c r="G15" s="7">
        <f>G31*0.2</f>
        <v>64.8</v>
      </c>
      <c r="H15" s="7">
        <v>1</v>
      </c>
      <c r="I15" s="7">
        <f>IF(A15&lt;5,$X$1,IF(A15&gt;10,$AA$1,$Z$1))</f>
        <v>1003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>
        <v>0</v>
      </c>
      <c r="N15" s="7">
        <f>IF(A15&lt;5,$X$1,IF(A15&gt;10,$AA$1,$Z$1))</f>
        <v>1003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f>B15+$AB$2+25</f>
        <v>1230</v>
      </c>
      <c r="C16" s="7">
        <f t="shared" si="0"/>
        <v>30</v>
      </c>
      <c r="D16" s="7">
        <v>11</v>
      </c>
      <c r="E16" s="7"/>
      <c r="F16" s="7">
        <f t="shared" si="2"/>
        <v>24</v>
      </c>
      <c r="G16" s="7">
        <f t="shared" ref="G16:G19" si="11">($G$20-$G$15)/5+G15</f>
        <v>77.76</v>
      </c>
      <c r="H16" s="7">
        <v>2</v>
      </c>
      <c r="I16" s="7">
        <f>IF(A16&lt;5,$X$1,IF(A16&gt;10,$AA$1,$Z$1))</f>
        <v>1003</v>
      </c>
      <c r="J16" s="7">
        <v>10</v>
      </c>
      <c r="K16" s="7">
        <f>IF(H16=1,"",INDEX($X$1:$X$3,MATCH(H16,$V$1:$V$3,0)))</f>
        <v>1005</v>
      </c>
      <c r="L16" s="7">
        <f t="shared" si="4"/>
        <v>5</v>
      </c>
      <c r="M16" s="7">
        <v>0</v>
      </c>
      <c r="N16" s="7">
        <f>IF(A16&lt;5,$X$1,IF(A16&gt;10,$AA$1,$Z$1))</f>
        <v>1003</v>
      </c>
      <c r="O16" s="7">
        <v>10</v>
      </c>
      <c r="P16" s="7">
        <f>IF(H16=1,"",INDEX($X$1:$X$3,MATCH(H16,$V$1:$V$3,0)))</f>
        <v>1005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f>B16+$AB$2+25</f>
        <v>1325</v>
      </c>
      <c r="C17" s="7">
        <f t="shared" si="0"/>
        <v>33</v>
      </c>
      <c r="D17" s="7">
        <v>12</v>
      </c>
      <c r="E17" s="7"/>
      <c r="F17" s="7">
        <f t="shared" si="2"/>
        <v>26</v>
      </c>
      <c r="G17" s="7">
        <f t="shared" si="11"/>
        <v>90.72</v>
      </c>
      <c r="H17" s="7">
        <v>1</v>
      </c>
      <c r="I17" s="7">
        <f>IF(A17&lt;5,$X$1,IF(A17&gt;10,$AA$1,$Z$1))</f>
        <v>1003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>
        <v>0</v>
      </c>
      <c r="N17" s="7">
        <f>IF(A17&lt;5,$X$1,IF(A17&gt;10,$AA$1,$Z$1))</f>
        <v>1003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f>B17+$AB$2+25</f>
        <v>1420</v>
      </c>
      <c r="C18" s="7">
        <f t="shared" si="0"/>
        <v>35</v>
      </c>
      <c r="D18" s="7">
        <v>13</v>
      </c>
      <c r="E18" s="7"/>
      <c r="F18" s="7">
        <f t="shared" si="2"/>
        <v>28</v>
      </c>
      <c r="G18" s="7">
        <f t="shared" si="11"/>
        <v>103.68</v>
      </c>
      <c r="H18" s="7">
        <v>1</v>
      </c>
      <c r="I18" s="7">
        <f>IF(A18&lt;5,$X$1,IF(A18&gt;10,$AA$1,$Z$1))</f>
        <v>1003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>
        <v>0</v>
      </c>
      <c r="N18" s="7">
        <f>IF(A18&lt;5,$X$1,IF(A18&gt;10,$AA$1,$Z$1))</f>
        <v>1003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f>B18+$AB$2+25</f>
        <v>1515</v>
      </c>
      <c r="C19" s="7">
        <f t="shared" si="0"/>
        <v>37</v>
      </c>
      <c r="D19" s="7">
        <v>14</v>
      </c>
      <c r="E19" s="7"/>
      <c r="F19" s="7">
        <f t="shared" si="2"/>
        <v>30</v>
      </c>
      <c r="G19" s="7">
        <f t="shared" si="11"/>
        <v>116.64</v>
      </c>
      <c r="H19" s="7">
        <v>1</v>
      </c>
      <c r="I19" s="7">
        <f>IF(A19&lt;5,$X$1,IF(A19&gt;10,$AA$1,$Z$1))</f>
        <v>1003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>
        <v>0</v>
      </c>
      <c r="N19" s="7">
        <f>IF(A19&lt;5,$X$1,IF(A19&gt;10,$AA$1,$Z$1))</f>
        <v>1003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f>B19+$AB$2+25</f>
        <v>1610</v>
      </c>
      <c r="C20" s="7">
        <f t="shared" si="0"/>
        <v>40</v>
      </c>
      <c r="D20" s="7">
        <v>15</v>
      </c>
      <c r="E20" s="7"/>
      <c r="F20" s="7">
        <f t="shared" si="2"/>
        <v>32</v>
      </c>
      <c r="G20" s="7">
        <f>G31*0.4</f>
        <v>129.6</v>
      </c>
      <c r="H20" s="7">
        <v>1</v>
      </c>
      <c r="I20" s="7">
        <f>IF(A20&lt;5,$X$1,IF(A20&gt;10,$AA$1,$Z$1))</f>
        <v>1003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>
        <v>0</v>
      </c>
      <c r="N20" s="7">
        <f>IF(A20&lt;5,$X$1,IF(A20&gt;10,$AA$1,$Z$1))</f>
        <v>1003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f>B20+$AB$2+30</f>
        <v>1710</v>
      </c>
      <c r="C21" s="7">
        <f t="shared" si="0"/>
        <v>42</v>
      </c>
      <c r="D21" s="7">
        <v>16</v>
      </c>
      <c r="E21" s="7"/>
      <c r="F21" s="7">
        <f t="shared" si="2"/>
        <v>34</v>
      </c>
      <c r="G21" s="7">
        <f t="shared" ref="G21:G24" si="12">($G$25-$G$20)/5+G20</f>
        <v>142.56</v>
      </c>
      <c r="H21" s="7">
        <v>3</v>
      </c>
      <c r="I21" s="7">
        <f>IF(A21&lt;5,$X$1,IF(A21&gt;10,$AA$1,$Z$1))</f>
        <v>1003</v>
      </c>
      <c r="J21" s="7">
        <v>15</v>
      </c>
      <c r="K21" s="7">
        <f>IF(H21=1,"",INDEX($X$1:$X$3,MATCH(H21,$V$1:$V$3,0)))</f>
        <v>1006</v>
      </c>
      <c r="L21" s="7">
        <f t="shared" si="4"/>
        <v>1</v>
      </c>
      <c r="M21" s="7">
        <v>0</v>
      </c>
      <c r="N21" s="7">
        <f>IF(A21&lt;5,$X$1,IF(A21&gt;10,$AA$1,$Z$1))</f>
        <v>1003</v>
      </c>
      <c r="O21" s="7">
        <v>15</v>
      </c>
      <c r="P21" s="7">
        <f>IF(H21=1,"",INDEX($X$1:$X$3,MATCH(H21,$V$1:$V$3,0)))</f>
        <v>1006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>
        <f t="shared" ref="B22:B31" si="13">B21+$AB$2+30</f>
        <v>1810</v>
      </c>
      <c r="C22" s="7">
        <f t="shared" ref="C22:C33" si="14">ROUNDDOWN(B22/$X$6,0)</f>
        <v>45</v>
      </c>
      <c r="D22" s="7">
        <v>17</v>
      </c>
      <c r="E22" s="7"/>
      <c r="F22" s="7">
        <f t="shared" si="2"/>
        <v>36</v>
      </c>
      <c r="G22" s="7">
        <f t="shared" si="12"/>
        <v>155.52</v>
      </c>
      <c r="H22" s="7">
        <v>1</v>
      </c>
      <c r="I22" s="7">
        <f>IF(A22&lt;5,$X$1,IF(A22&gt;10,$AA$1,$Z$1))</f>
        <v>1003</v>
      </c>
      <c r="J22" s="7">
        <v>20</v>
      </c>
      <c r="K22" s="7" t="str">
        <f>IF(H22=1,"",INDEX($X$1:$X$3,MATCH(H22,$V$1:$V$3,0)))</f>
        <v/>
      </c>
      <c r="L22" s="7" t="str">
        <f t="shared" si="4"/>
        <v/>
      </c>
      <c r="M22" s="7">
        <v>0</v>
      </c>
      <c r="N22" s="7">
        <f>IF(A22&lt;5,$X$1,IF(A22&gt;10,$AA$1,$Z$1))</f>
        <v>1003</v>
      </c>
      <c r="O22" s="7">
        <v>20</v>
      </c>
      <c r="P22" s="7" t="str">
        <f>IF(H22=1,"",INDEX($X$1:$X$3,MATCH(H22,$V$1:$V$3,0)))</f>
        <v/>
      </c>
      <c r="Q22" s="7" t="str">
        <f t="shared" si="5"/>
        <v/>
      </c>
      <c r="R22" s="7"/>
      <c r="S22" s="7">
        <f t="shared" si="6"/>
        <v>40</v>
      </c>
      <c r="T22" s="7"/>
      <c r="U22" s="7"/>
      <c r="V22" s="7"/>
      <c r="Y22" s="4"/>
      <c r="AA22" s="7"/>
    </row>
    <row r="23" spans="1:27">
      <c r="A23" s="7">
        <v>22</v>
      </c>
      <c r="B23" s="7">
        <f t="shared" si="13"/>
        <v>1910</v>
      </c>
      <c r="C23" s="7">
        <f t="shared" si="14"/>
        <v>47</v>
      </c>
      <c r="D23" s="7">
        <v>20</v>
      </c>
      <c r="E23" s="7"/>
      <c r="F23" s="7">
        <f t="shared" si="2"/>
        <v>38</v>
      </c>
      <c r="G23" s="7">
        <f t="shared" si="12"/>
        <v>168.48</v>
      </c>
      <c r="H23" s="7">
        <v>1</v>
      </c>
      <c r="I23" s="7">
        <f>IF(A23&lt;5,$X$1,IF(A23&gt;10,$AA$1,$Z$1))</f>
        <v>1003</v>
      </c>
      <c r="J23" s="7">
        <v>20</v>
      </c>
      <c r="K23" s="7" t="str">
        <f>IF(H23=1,"",INDEX($X$1:$X$3,MATCH(H23,$V$1:$V$3,0)))</f>
        <v/>
      </c>
      <c r="L23" s="7" t="str">
        <f t="shared" si="4"/>
        <v/>
      </c>
      <c r="M23" s="7">
        <v>0</v>
      </c>
      <c r="N23" s="7">
        <f>IF(A23&lt;5,$X$1,IF(A23&gt;10,$AA$1,$Z$1))</f>
        <v>1003</v>
      </c>
      <c r="O23" s="7">
        <v>20</v>
      </c>
      <c r="P23" s="7" t="str">
        <f>IF(H23=1,"",INDEX($X$1:$X$3,MATCH(H23,$V$1:$V$3,0)))</f>
        <v/>
      </c>
      <c r="Q23" s="7" t="str">
        <f t="shared" si="5"/>
        <v/>
      </c>
      <c r="R23" s="7"/>
      <c r="S23" s="7">
        <f t="shared" si="6"/>
        <v>40</v>
      </c>
      <c r="T23" s="7"/>
      <c r="U23" s="7"/>
      <c r="V23" s="7"/>
      <c r="Y23" s="4"/>
      <c r="AA23" s="7"/>
    </row>
    <row r="24" spans="1:27">
      <c r="A24" s="7">
        <v>23</v>
      </c>
      <c r="B24" s="7">
        <f t="shared" si="13"/>
        <v>2010</v>
      </c>
      <c r="C24" s="7">
        <f t="shared" si="14"/>
        <v>50</v>
      </c>
      <c r="D24" s="7">
        <v>21</v>
      </c>
      <c r="E24" s="7"/>
      <c r="F24" s="7">
        <f t="shared" si="2"/>
        <v>40</v>
      </c>
      <c r="G24" s="7">
        <f t="shared" si="12"/>
        <v>181.44</v>
      </c>
      <c r="H24" s="7">
        <v>1</v>
      </c>
      <c r="I24" s="7">
        <f>IF(A24&lt;5,$X$1,IF(A24&gt;10,$AA$1,$Z$1))</f>
        <v>1003</v>
      </c>
      <c r="J24" s="7">
        <v>20</v>
      </c>
      <c r="K24" s="7" t="str">
        <f>IF(H24=1,"",INDEX($X$1:$X$3,MATCH(H24,$V$1:$V$3,0)))</f>
        <v/>
      </c>
      <c r="L24" s="7" t="str">
        <f t="shared" si="4"/>
        <v/>
      </c>
      <c r="M24" s="7">
        <v>0</v>
      </c>
      <c r="N24" s="7">
        <f>IF(A24&lt;5,$X$1,IF(A24&gt;10,$AA$1,$Z$1))</f>
        <v>1003</v>
      </c>
      <c r="O24" s="7">
        <v>20</v>
      </c>
      <c r="P24" s="7" t="str">
        <f>IF(H24=1,"",INDEX($X$1:$X$3,MATCH(H24,$V$1:$V$3,0)))</f>
        <v/>
      </c>
      <c r="Q24" s="7" t="str">
        <f t="shared" si="5"/>
        <v/>
      </c>
      <c r="R24" s="7"/>
      <c r="S24" s="7">
        <f t="shared" si="6"/>
        <v>40</v>
      </c>
      <c r="T24" s="7"/>
      <c r="U24" s="7"/>
      <c r="V24" s="7"/>
      <c r="Y24" s="4"/>
      <c r="AA24" s="7"/>
    </row>
    <row r="25" spans="1:27">
      <c r="A25" s="7">
        <v>24</v>
      </c>
      <c r="B25" s="7">
        <f t="shared" si="13"/>
        <v>2110</v>
      </c>
      <c r="C25" s="7">
        <f t="shared" si="14"/>
        <v>52</v>
      </c>
      <c r="D25" s="7">
        <v>22</v>
      </c>
      <c r="E25" s="7"/>
      <c r="F25" s="7">
        <f t="shared" si="2"/>
        <v>42</v>
      </c>
      <c r="G25" s="7">
        <f>G31*0.6</f>
        <v>194.4</v>
      </c>
      <c r="H25" s="7">
        <v>1</v>
      </c>
      <c r="I25" s="7">
        <f>IF(A25&lt;5,$X$1,IF(A25&gt;10,$AA$1,$Z$1))</f>
        <v>1003</v>
      </c>
      <c r="J25" s="7">
        <v>20</v>
      </c>
      <c r="K25" s="7" t="str">
        <f>IF(H25=1,"",INDEX($X$1:$X$3,MATCH(H25,$V$1:$V$3,0)))</f>
        <v/>
      </c>
      <c r="L25" s="7" t="str">
        <f t="shared" si="4"/>
        <v/>
      </c>
      <c r="M25" s="7">
        <v>0</v>
      </c>
      <c r="N25" s="7">
        <f>IF(A25&lt;5,$X$1,IF(A25&gt;10,$AA$1,$Z$1))</f>
        <v>1003</v>
      </c>
      <c r="O25" s="7">
        <v>20</v>
      </c>
      <c r="P25" s="7" t="str">
        <f>IF(H25=1,"",INDEX($X$1:$X$3,MATCH(H25,$V$1:$V$3,0)))</f>
        <v/>
      </c>
      <c r="Q25" s="7" t="str">
        <f t="shared" si="5"/>
        <v/>
      </c>
      <c r="R25" s="7"/>
      <c r="S25" s="7">
        <f t="shared" si="6"/>
        <v>40</v>
      </c>
      <c r="T25" s="7"/>
      <c r="U25" s="7"/>
      <c r="V25" s="7"/>
      <c r="Y25" s="4"/>
      <c r="AA25" s="7"/>
    </row>
    <row r="26" spans="1:27">
      <c r="A26" s="7">
        <v>25</v>
      </c>
      <c r="B26" s="7">
        <f t="shared" si="13"/>
        <v>2210</v>
      </c>
      <c r="C26" s="7">
        <f t="shared" si="14"/>
        <v>55</v>
      </c>
      <c r="D26" s="7">
        <v>23</v>
      </c>
      <c r="E26" s="7"/>
      <c r="F26" s="7">
        <f t="shared" si="2"/>
        <v>44</v>
      </c>
      <c r="G26" s="7">
        <f t="shared" ref="G26:G29" si="15">($G$30-$G$25)/5+G25</f>
        <v>210.6</v>
      </c>
      <c r="H26" s="7">
        <v>2</v>
      </c>
      <c r="I26" s="7">
        <f>IF(A26&lt;5,$X$1,IF(A26&gt;10,$AA$1,$Z$1))</f>
        <v>1003</v>
      </c>
      <c r="J26" s="7">
        <v>10</v>
      </c>
      <c r="K26" s="7">
        <f>IF(H26=1,"",INDEX($X$1:$X$3,MATCH(H26,$V$1:$V$3,0)))</f>
        <v>1005</v>
      </c>
      <c r="L26" s="7">
        <f t="shared" si="4"/>
        <v>5</v>
      </c>
      <c r="M26" s="7">
        <v>0</v>
      </c>
      <c r="N26" s="7">
        <f>IF(A26&lt;5,$X$1,IF(A26&gt;10,$AA$1,$Z$1))</f>
        <v>1003</v>
      </c>
      <c r="O26" s="7">
        <v>10</v>
      </c>
      <c r="P26" s="7">
        <f>IF(H26=1,"",INDEX($X$1:$X$3,MATCH(H26,$V$1:$V$3,0)))</f>
        <v>1005</v>
      </c>
      <c r="Q26" s="7">
        <f t="shared" si="5"/>
        <v>5</v>
      </c>
      <c r="R26" s="7"/>
      <c r="S26" s="7">
        <f t="shared" si="6"/>
        <v>30</v>
      </c>
      <c r="T26" s="7"/>
      <c r="U26" s="7"/>
      <c r="V26" s="7"/>
      <c r="Y26" s="4"/>
      <c r="AA26" s="7"/>
    </row>
    <row r="27" spans="1:27">
      <c r="A27" s="7">
        <v>26</v>
      </c>
      <c r="B27" s="7">
        <f t="shared" si="13"/>
        <v>2310</v>
      </c>
      <c r="C27" s="7">
        <f t="shared" si="14"/>
        <v>57</v>
      </c>
      <c r="D27" s="7">
        <v>24</v>
      </c>
      <c r="E27" s="7"/>
      <c r="F27" s="7">
        <f t="shared" si="2"/>
        <v>46</v>
      </c>
      <c r="G27" s="7">
        <f t="shared" si="15"/>
        <v>226.8</v>
      </c>
      <c r="H27" s="7">
        <v>1</v>
      </c>
      <c r="I27" s="7">
        <f>IF(A27&lt;5,$X$1,IF(A27&gt;10,$AA$1,$Z$1))</f>
        <v>1003</v>
      </c>
      <c r="J27" s="7">
        <v>20</v>
      </c>
      <c r="K27" s="7" t="str">
        <f>IF(H27=1,"",INDEX($X$1:$X$3,MATCH(H27,$V$1:$V$3,0)))</f>
        <v/>
      </c>
      <c r="L27" s="7" t="str">
        <f t="shared" si="4"/>
        <v/>
      </c>
      <c r="M27" s="7">
        <v>0</v>
      </c>
      <c r="N27" s="7">
        <f>IF(A27&lt;5,$X$1,IF(A27&gt;10,$AA$1,$Z$1))</f>
        <v>1003</v>
      </c>
      <c r="O27" s="7">
        <v>20</v>
      </c>
      <c r="P27" s="7" t="str">
        <f>IF(H27=1,"",INDEX($X$1:$X$3,MATCH(H27,$V$1:$V$3,0)))</f>
        <v/>
      </c>
      <c r="Q27" s="7" t="str">
        <f t="shared" si="5"/>
        <v/>
      </c>
      <c r="R27" s="7"/>
      <c r="S27" s="7">
        <f t="shared" si="6"/>
        <v>40</v>
      </c>
      <c r="T27" s="7"/>
      <c r="U27" s="7"/>
      <c r="V27" s="7"/>
      <c r="Y27" s="4"/>
      <c r="AA27" s="7"/>
    </row>
    <row r="28" spans="1:27">
      <c r="A28" s="7">
        <v>27</v>
      </c>
      <c r="B28" s="7">
        <f t="shared" si="13"/>
        <v>2410</v>
      </c>
      <c r="C28" s="7">
        <f t="shared" si="14"/>
        <v>60</v>
      </c>
      <c r="D28" s="7">
        <v>25</v>
      </c>
      <c r="E28" s="7"/>
      <c r="F28" s="7">
        <f t="shared" si="2"/>
        <v>48</v>
      </c>
      <c r="G28" s="7">
        <f t="shared" si="15"/>
        <v>243</v>
      </c>
      <c r="H28" s="7">
        <v>1</v>
      </c>
      <c r="I28" s="7">
        <f>IF(A28&lt;5,$X$1,IF(A28&gt;10,$AA$1,$Z$1))</f>
        <v>1003</v>
      </c>
      <c r="J28" s="7">
        <v>20</v>
      </c>
      <c r="K28" s="7" t="str">
        <f>IF(H28=1,"",INDEX($X$1:$X$3,MATCH(H28,$V$1:$V$3,0)))</f>
        <v/>
      </c>
      <c r="L28" s="7" t="str">
        <f t="shared" si="4"/>
        <v/>
      </c>
      <c r="M28" s="7">
        <v>0</v>
      </c>
      <c r="N28" s="7">
        <f>IF(A28&lt;5,$X$1,IF(A28&gt;10,$AA$1,$Z$1))</f>
        <v>1003</v>
      </c>
      <c r="O28" s="7">
        <v>20</v>
      </c>
      <c r="P28" s="7" t="str">
        <f>IF(H28=1,"",INDEX($X$1:$X$3,MATCH(H28,$V$1:$V$3,0)))</f>
        <v/>
      </c>
      <c r="Q28" s="7" t="str">
        <f t="shared" si="5"/>
        <v/>
      </c>
      <c r="R28" s="7"/>
      <c r="S28" s="7">
        <f t="shared" si="6"/>
        <v>40</v>
      </c>
      <c r="T28" s="7"/>
      <c r="U28" s="7"/>
      <c r="V28" s="7"/>
      <c r="Y28" s="4"/>
      <c r="AA28" s="7"/>
    </row>
    <row r="29" spans="1:27">
      <c r="A29" s="7">
        <v>28</v>
      </c>
      <c r="B29" s="7">
        <f t="shared" si="13"/>
        <v>2510</v>
      </c>
      <c r="C29" s="7">
        <f t="shared" si="14"/>
        <v>62</v>
      </c>
      <c r="D29" s="7">
        <v>26</v>
      </c>
      <c r="E29" s="7"/>
      <c r="F29" s="7">
        <f t="shared" si="2"/>
        <v>50</v>
      </c>
      <c r="G29" s="7">
        <f t="shared" si="15"/>
        <v>259.2</v>
      </c>
      <c r="H29" s="7">
        <v>1</v>
      </c>
      <c r="I29" s="7">
        <f>IF(A29&lt;5,$X$1,IF(A29&gt;10,$AA$1,$Z$1))</f>
        <v>1003</v>
      </c>
      <c r="J29" s="7">
        <v>20</v>
      </c>
      <c r="K29" s="7" t="str">
        <f>IF(H29=1,"",INDEX($X$1:$X$3,MATCH(H29,$V$1:$V$3,0)))</f>
        <v/>
      </c>
      <c r="L29" s="7" t="str">
        <f t="shared" si="4"/>
        <v/>
      </c>
      <c r="M29" s="7">
        <v>0</v>
      </c>
      <c r="N29" s="7">
        <f>IF(A29&lt;5,$X$1,IF(A29&gt;10,$AA$1,$Z$1))</f>
        <v>1003</v>
      </c>
      <c r="O29" s="7">
        <v>20</v>
      </c>
      <c r="P29" s="7" t="str">
        <f>IF(H29=1,"",INDEX($X$1:$X$3,MATCH(H29,$V$1:$V$3,0)))</f>
        <v/>
      </c>
      <c r="Q29" s="7" t="str">
        <f t="shared" si="5"/>
        <v/>
      </c>
      <c r="R29" s="7"/>
      <c r="S29" s="7">
        <f t="shared" si="6"/>
        <v>40</v>
      </c>
      <c r="T29" s="7"/>
      <c r="U29" s="7"/>
      <c r="V29" s="7"/>
      <c r="Y29" s="4"/>
      <c r="AA29" s="7"/>
    </row>
    <row r="30" spans="1:27">
      <c r="A30" s="7">
        <v>29</v>
      </c>
      <c r="B30" s="7">
        <f t="shared" si="13"/>
        <v>2610</v>
      </c>
      <c r="C30" s="7">
        <f t="shared" si="14"/>
        <v>65</v>
      </c>
      <c r="D30" s="7">
        <v>27</v>
      </c>
      <c r="E30" s="7"/>
      <c r="F30" s="7">
        <f t="shared" si="2"/>
        <v>52</v>
      </c>
      <c r="G30" s="7">
        <f>G31*0.85</f>
        <v>275.4</v>
      </c>
      <c r="H30" s="7">
        <v>1</v>
      </c>
      <c r="I30" s="7">
        <f>IF(A30&lt;5,$X$1,IF(A30&gt;10,$AA$1,$Z$1))</f>
        <v>1003</v>
      </c>
      <c r="J30" s="7">
        <v>20</v>
      </c>
      <c r="K30" s="7" t="str">
        <f>IF(H30=1,"",INDEX($X$1:$X$3,MATCH(H30,$V$1:$V$3,0)))</f>
        <v/>
      </c>
      <c r="L30" s="7" t="str">
        <f t="shared" si="4"/>
        <v/>
      </c>
      <c r="M30" s="7">
        <v>0</v>
      </c>
      <c r="N30" s="7">
        <f>IF(A30&lt;5,$X$1,IF(A30&gt;10,$AA$1,$Z$1))</f>
        <v>1003</v>
      </c>
      <c r="O30" s="7">
        <v>20</v>
      </c>
      <c r="P30" s="7" t="str">
        <f>IF(H30=1,"",INDEX($X$1:$X$3,MATCH(H30,$V$1:$V$3,0)))</f>
        <v/>
      </c>
      <c r="Q30" s="7" t="str">
        <f t="shared" si="5"/>
        <v/>
      </c>
      <c r="R30" s="7"/>
      <c r="S30" s="7">
        <f t="shared" si="6"/>
        <v>40</v>
      </c>
      <c r="T30" s="7"/>
      <c r="U30" s="7"/>
      <c r="V30" s="7"/>
      <c r="Y30" s="4"/>
      <c r="AA30" s="7"/>
    </row>
    <row r="31" spans="1:27">
      <c r="A31" s="7">
        <v>30</v>
      </c>
      <c r="B31" s="7">
        <f t="shared" si="13"/>
        <v>2710</v>
      </c>
      <c r="C31" s="7">
        <f t="shared" si="14"/>
        <v>67</v>
      </c>
      <c r="D31" s="7">
        <v>28</v>
      </c>
      <c r="E31" s="7"/>
      <c r="F31" s="7">
        <f t="shared" si="2"/>
        <v>54</v>
      </c>
      <c r="G31" s="7">
        <v>324</v>
      </c>
      <c r="H31" s="7">
        <v>3</v>
      </c>
      <c r="I31" s="7">
        <f>IF(A31&lt;5,$X$1,IF(A31&gt;10,$AA$1,$Z$1))</f>
        <v>1003</v>
      </c>
      <c r="J31" s="7">
        <v>20</v>
      </c>
      <c r="K31" s="7">
        <f>IF(H31=1,"",INDEX($X$1:$X$3,MATCH(H31,$V$1:$V$3,0)))</f>
        <v>1006</v>
      </c>
      <c r="L31" s="7">
        <f t="shared" si="4"/>
        <v>1</v>
      </c>
      <c r="M31" s="7">
        <v>0</v>
      </c>
      <c r="N31" s="7">
        <f>IF(A31&lt;5,$X$1,IF(A31&gt;10,$AA$1,$Z$1))</f>
        <v>1003</v>
      </c>
      <c r="O31" s="7">
        <v>20</v>
      </c>
      <c r="P31" s="7">
        <f>IF(H31=1,"",INDEX($X$1:$X$3,MATCH(H31,$V$1:$V$3,0)))</f>
        <v>1006</v>
      </c>
      <c r="Q31" s="7">
        <f t="shared" si="5"/>
        <v>1</v>
      </c>
      <c r="R31" s="7"/>
      <c r="S31" s="7">
        <f t="shared" si="6"/>
        <v>42</v>
      </c>
      <c r="T31" s="7"/>
      <c r="U31" s="7"/>
      <c r="V31" s="7"/>
      <c r="Y31" s="4"/>
      <c r="AA31" s="7"/>
    </row>
    <row r="32" spans="1:27">
      <c r="A32" s="7"/>
      <c r="B32" s="7"/>
      <c r="C32" s="7">
        <f t="shared" si="14"/>
        <v>0</v>
      </c>
      <c r="D32" s="7"/>
      <c r="E32" s="7"/>
      <c r="F32" s="7">
        <f t="shared" si="2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/>
      <c r="C33" s="7">
        <f t="shared" si="14"/>
        <v>0</v>
      </c>
      <c r="D33" s="7"/>
      <c r="E33" s="7"/>
      <c r="F33" s="7">
        <f t="shared" si="2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6">IF(I2="","",_xlfn.TEXTJOIN(",",TRUE,I2:J2))</f>
        <v>1001,10</v>
      </c>
      <c r="J40" s="7" t="str">
        <f t="shared" ref="J40:J69" si="17">IF(I40="","",_xlfn.TEXTJOIN(",",TRUE,I40,H40))</f>
        <v>1001,10,1</v>
      </c>
      <c r="K40" s="7" t="str">
        <f t="shared" si="16"/>
        <v/>
      </c>
      <c r="L40" s="7" t="str">
        <f t="shared" ref="L40:L69" si="18">IF(K40="","",_xlfn.TEXTJOIN(",",TRUE,K40,H40))</f>
        <v/>
      </c>
      <c r="M40" s="7" t="str">
        <f t="shared" ref="M40:M69" si="19">_xlfn.TEXTJOIN(";",TRUE,J40,L40)</f>
        <v>1001,10,1</v>
      </c>
      <c r="N40" s="7" t="str">
        <f t="shared" si="16"/>
        <v>1001,10</v>
      </c>
      <c r="O40" s="7" t="str">
        <f t="shared" ref="O40:O69" si="20">IF(N40="","",N40&amp;","&amp;H40)</f>
        <v>1001,10,1</v>
      </c>
      <c r="P40" s="7" t="str">
        <f t="shared" ref="P40:P69" si="21">IF(P2="","",P2&amp;","&amp;Q2)</f>
        <v/>
      </c>
      <c r="Q40" s="7" t="str">
        <f t="shared" ref="Q40:Q69" si="22">IF(P40="","",P40&amp;","&amp;H40)</f>
        <v/>
      </c>
      <c r="R40" s="7" t="str">
        <f t="shared" ref="R40:R69" si="23">_xlfn.TEXTJOIN(";",TRUE,O40,Q40)</f>
        <v>1001,10,1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4">IF(I3="","",_xlfn.TEXTJOIN(",",TRUE,I3:J3))</f>
        <v>1001,10</v>
      </c>
      <c r="J41" s="7" t="str">
        <f t="shared" si="17"/>
        <v>1001,10,2</v>
      </c>
      <c r="K41" s="7" t="str">
        <f t="shared" si="24"/>
        <v/>
      </c>
      <c r="L41" s="7" t="str">
        <f t="shared" si="18"/>
        <v/>
      </c>
      <c r="M41" s="7" t="str">
        <f t="shared" si="19"/>
        <v>1001,10,2</v>
      </c>
      <c r="N41" s="7" t="str">
        <f t="shared" si="24"/>
        <v>1001,10</v>
      </c>
      <c r="O41" s="7" t="str">
        <f t="shared" si="20"/>
        <v>1001,10,2</v>
      </c>
      <c r="P41" s="7" t="str">
        <f t="shared" si="21"/>
        <v/>
      </c>
      <c r="Q41" s="7" t="str">
        <f t="shared" si="22"/>
        <v/>
      </c>
      <c r="R41" s="7" t="str">
        <f t="shared" si="23"/>
        <v>1001,10,2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5">IF(I4="","",_xlfn.TEXTJOIN(",",TRUE,I4:J4))</f>
        <v>1001,10</v>
      </c>
      <c r="J42" s="7" t="str">
        <f t="shared" si="17"/>
        <v>1001,10,3</v>
      </c>
      <c r="K42" s="7" t="str">
        <f t="shared" si="25"/>
        <v/>
      </c>
      <c r="L42" s="7" t="str">
        <f t="shared" si="18"/>
        <v/>
      </c>
      <c r="M42" s="7" t="str">
        <f t="shared" si="19"/>
        <v>1001,10,3</v>
      </c>
      <c r="N42" s="7" t="str">
        <f t="shared" si="25"/>
        <v>1001,10</v>
      </c>
      <c r="O42" s="7" t="str">
        <f t="shared" si="20"/>
        <v>1001,10,3</v>
      </c>
      <c r="P42" s="7" t="str">
        <f t="shared" si="21"/>
        <v/>
      </c>
      <c r="Q42" s="7" t="str">
        <f t="shared" si="22"/>
        <v/>
      </c>
      <c r="R42" s="7" t="str">
        <f t="shared" si="23"/>
        <v>1001,10,3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6">IF(I5="","",_xlfn.TEXTJOIN(",",TRUE,I5:J5))</f>
        <v>1001,10</v>
      </c>
      <c r="J43" s="7" t="str">
        <f t="shared" si="17"/>
        <v>1001,10,4</v>
      </c>
      <c r="K43" s="7" t="str">
        <f t="shared" si="26"/>
        <v/>
      </c>
      <c r="L43" s="7" t="str">
        <f t="shared" si="18"/>
        <v/>
      </c>
      <c r="M43" s="7" t="str">
        <f t="shared" si="19"/>
        <v>1001,10,4</v>
      </c>
      <c r="N43" s="7" t="str">
        <f t="shared" si="26"/>
        <v>1001,10</v>
      </c>
      <c r="O43" s="7" t="str">
        <f t="shared" si="20"/>
        <v>1001,10,4</v>
      </c>
      <c r="P43" s="7" t="str">
        <f t="shared" si="21"/>
        <v/>
      </c>
      <c r="Q43" s="7" t="str">
        <f t="shared" si="22"/>
        <v/>
      </c>
      <c r="R43" s="7" t="str">
        <f t="shared" si="23"/>
        <v>1001,10,4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7">IF(I6="","",_xlfn.TEXTJOIN(",",TRUE,I6:J6))</f>
        <v>1002,5</v>
      </c>
      <c r="J44" s="7" t="str">
        <f t="shared" si="17"/>
        <v>1002,5,5</v>
      </c>
      <c r="K44" s="7" t="str">
        <f t="shared" si="27"/>
        <v>1005,5</v>
      </c>
      <c r="L44" s="7" t="str">
        <f t="shared" si="18"/>
        <v>1005,5,5</v>
      </c>
      <c r="M44" s="7" t="str">
        <f t="shared" si="19"/>
        <v>1002,5,5;1005,5,5</v>
      </c>
      <c r="N44" s="7" t="str">
        <f t="shared" si="27"/>
        <v>1002,5</v>
      </c>
      <c r="O44" s="7" t="str">
        <f t="shared" si="20"/>
        <v>1002,5,5</v>
      </c>
      <c r="P44" s="7" t="str">
        <f t="shared" si="21"/>
        <v>1005,5</v>
      </c>
      <c r="Q44" s="7" t="str">
        <f t="shared" si="22"/>
        <v>1005,5,5</v>
      </c>
      <c r="R44" s="7" t="str">
        <f t="shared" si="23"/>
        <v>1002,5,5;1005,5,5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8">IF(I7="","",_xlfn.TEXTJOIN(",",TRUE,I7:J7))</f>
        <v>1002,10</v>
      </c>
      <c r="J45" s="7" t="str">
        <f t="shared" si="17"/>
        <v>1002,10,6</v>
      </c>
      <c r="K45" s="7" t="str">
        <f t="shared" si="28"/>
        <v/>
      </c>
      <c r="L45" s="7" t="str">
        <f t="shared" si="18"/>
        <v/>
      </c>
      <c r="M45" s="7" t="str">
        <f t="shared" si="19"/>
        <v>1002,10,6</v>
      </c>
      <c r="N45" s="7" t="str">
        <f t="shared" si="28"/>
        <v>1002,10</v>
      </c>
      <c r="O45" s="7" t="str">
        <f t="shared" si="20"/>
        <v>1002,10,6</v>
      </c>
      <c r="P45" s="7" t="str">
        <f t="shared" si="21"/>
        <v/>
      </c>
      <c r="Q45" s="7" t="str">
        <f t="shared" si="22"/>
        <v/>
      </c>
      <c r="R45" s="7" t="str">
        <f t="shared" si="23"/>
        <v>1002,10,6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9">IF(I8="","",_xlfn.TEXTJOIN(",",TRUE,I8:J8))</f>
        <v>1002,10</v>
      </c>
      <c r="J46" s="7" t="str">
        <f t="shared" si="17"/>
        <v>1002,10,7</v>
      </c>
      <c r="K46" s="7" t="str">
        <f t="shared" si="29"/>
        <v/>
      </c>
      <c r="L46" s="7" t="str">
        <f t="shared" si="18"/>
        <v/>
      </c>
      <c r="M46" s="7" t="str">
        <f t="shared" si="19"/>
        <v>1002,10,7</v>
      </c>
      <c r="N46" s="7" t="str">
        <f t="shared" si="29"/>
        <v>1002,10</v>
      </c>
      <c r="O46" s="7" t="str">
        <f t="shared" si="20"/>
        <v>1002,10,7</v>
      </c>
      <c r="P46" s="7" t="str">
        <f t="shared" si="21"/>
        <v/>
      </c>
      <c r="Q46" s="7" t="str">
        <f t="shared" si="22"/>
        <v/>
      </c>
      <c r="R46" s="7" t="str">
        <f t="shared" si="23"/>
        <v>1002,10,7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30">IF(I9="","",_xlfn.TEXTJOIN(",",TRUE,I9:J9))</f>
        <v>1002,10</v>
      </c>
      <c r="J47" s="7" t="str">
        <f t="shared" si="17"/>
        <v>1002,10,8</v>
      </c>
      <c r="K47" s="7" t="str">
        <f t="shared" si="30"/>
        <v/>
      </c>
      <c r="L47" s="7" t="str">
        <f t="shared" si="18"/>
        <v/>
      </c>
      <c r="M47" s="7" t="str">
        <f t="shared" si="19"/>
        <v>1002,10,8</v>
      </c>
      <c r="N47" s="7" t="str">
        <f t="shared" si="30"/>
        <v>1002,10</v>
      </c>
      <c r="O47" s="7" t="str">
        <f t="shared" si="20"/>
        <v>1002,10,8</v>
      </c>
      <c r="P47" s="7" t="str">
        <f t="shared" si="21"/>
        <v/>
      </c>
      <c r="Q47" s="7" t="str">
        <f t="shared" si="22"/>
        <v/>
      </c>
      <c r="R47" s="7" t="str">
        <f t="shared" si="23"/>
        <v>1002,10,8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31">IF(I10="","",_xlfn.TEXTJOIN(",",TRUE,I10:J10))</f>
        <v>1002,10</v>
      </c>
      <c r="J48" s="7" t="str">
        <f t="shared" si="17"/>
        <v>1002,10,9</v>
      </c>
      <c r="K48" s="7" t="str">
        <f t="shared" si="31"/>
        <v/>
      </c>
      <c r="L48" s="7" t="str">
        <f t="shared" si="18"/>
        <v/>
      </c>
      <c r="M48" s="7" t="str">
        <f t="shared" si="19"/>
        <v>1002,10,9</v>
      </c>
      <c r="N48" s="7" t="str">
        <f t="shared" si="31"/>
        <v>1002,10</v>
      </c>
      <c r="O48" s="7" t="str">
        <f t="shared" si="20"/>
        <v>1002,10,9</v>
      </c>
      <c r="P48" s="7" t="str">
        <f t="shared" si="21"/>
        <v/>
      </c>
      <c r="Q48" s="7" t="str">
        <f t="shared" si="22"/>
        <v/>
      </c>
      <c r="R48" s="7" t="str">
        <f t="shared" si="23"/>
        <v>1002,10,9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2">IF(I11="","",_xlfn.TEXTJOIN(",",TRUE,I11:J11))</f>
        <v>1002,10</v>
      </c>
      <c r="J49" s="7" t="str">
        <f t="shared" si="17"/>
        <v>1002,10,10</v>
      </c>
      <c r="K49" s="7" t="str">
        <f t="shared" si="32"/>
        <v>1006,1</v>
      </c>
      <c r="L49" s="7" t="str">
        <f t="shared" si="18"/>
        <v>1006,1,10</v>
      </c>
      <c r="M49" s="7" t="str">
        <f t="shared" si="19"/>
        <v>1002,10,10;1006,1,10</v>
      </c>
      <c r="N49" s="7" t="str">
        <f t="shared" si="32"/>
        <v>1002,10</v>
      </c>
      <c r="O49" s="7" t="str">
        <f t="shared" si="20"/>
        <v>1002,10,10</v>
      </c>
      <c r="P49" s="7" t="str">
        <f t="shared" si="21"/>
        <v>1006,1</v>
      </c>
      <c r="Q49" s="7" t="str">
        <f t="shared" si="22"/>
        <v>1006,1,10</v>
      </c>
      <c r="R49" s="7" t="str">
        <f t="shared" si="23"/>
        <v>1002,10,10;1006,1,10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3">IF(I12="","",_xlfn.TEXTJOIN(",",TRUE,I12:J12))</f>
        <v>1003,15</v>
      </c>
      <c r="J50" s="7" t="str">
        <f t="shared" si="17"/>
        <v>1003,15,11</v>
      </c>
      <c r="K50" s="7" t="str">
        <f t="shared" si="33"/>
        <v/>
      </c>
      <c r="L50" s="7" t="str">
        <f t="shared" si="18"/>
        <v/>
      </c>
      <c r="M50" s="7" t="str">
        <f t="shared" si="19"/>
        <v>1003,15,11</v>
      </c>
      <c r="N50" s="7" t="str">
        <f t="shared" si="33"/>
        <v>1003,15</v>
      </c>
      <c r="O50" s="7" t="str">
        <f t="shared" si="20"/>
        <v>1003,15,11</v>
      </c>
      <c r="P50" s="7" t="str">
        <f t="shared" si="21"/>
        <v/>
      </c>
      <c r="Q50" s="7" t="str">
        <f t="shared" si="22"/>
        <v/>
      </c>
      <c r="R50" s="7" t="str">
        <f t="shared" si="23"/>
        <v>1003,15,11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4">IF(I13="","",_xlfn.TEXTJOIN(",",TRUE,I13:J13))</f>
        <v>1003,15</v>
      </c>
      <c r="J51" s="7" t="str">
        <f t="shared" si="17"/>
        <v>1003,15,12</v>
      </c>
      <c r="K51" s="7" t="str">
        <f t="shared" si="34"/>
        <v/>
      </c>
      <c r="L51" s="7" t="str">
        <f t="shared" si="18"/>
        <v/>
      </c>
      <c r="M51" s="7" t="str">
        <f t="shared" si="19"/>
        <v>1003,15,12</v>
      </c>
      <c r="N51" s="7" t="str">
        <f t="shared" si="34"/>
        <v>1003,15</v>
      </c>
      <c r="O51" s="7" t="str">
        <f t="shared" si="20"/>
        <v>1003,15,12</v>
      </c>
      <c r="P51" s="7" t="str">
        <f t="shared" si="21"/>
        <v/>
      </c>
      <c r="Q51" s="7" t="str">
        <f t="shared" si="22"/>
        <v/>
      </c>
      <c r="R51" s="7" t="str">
        <f t="shared" si="23"/>
        <v>1003,15,12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5">IF(I14="","",_xlfn.TEXTJOIN(",",TRUE,I14:J14))</f>
        <v>1003,15</v>
      </c>
      <c r="J52" s="7" t="str">
        <f t="shared" si="17"/>
        <v>1003,15,13</v>
      </c>
      <c r="K52" s="7" t="str">
        <f t="shared" si="35"/>
        <v/>
      </c>
      <c r="L52" s="7" t="str">
        <f t="shared" si="18"/>
        <v/>
      </c>
      <c r="M52" s="7" t="str">
        <f t="shared" si="19"/>
        <v>1003,15,13</v>
      </c>
      <c r="N52" s="7" t="str">
        <f t="shared" si="35"/>
        <v>1003,15</v>
      </c>
      <c r="O52" s="7" t="str">
        <f t="shared" si="20"/>
        <v>1003,15,13</v>
      </c>
      <c r="P52" s="7" t="str">
        <f t="shared" si="21"/>
        <v/>
      </c>
      <c r="Q52" s="7" t="str">
        <f t="shared" si="22"/>
        <v/>
      </c>
      <c r="R52" s="7" t="str">
        <f t="shared" si="23"/>
        <v>1003,15,13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6">IF(I15="","",_xlfn.TEXTJOIN(",",TRUE,I15:J15))</f>
        <v>1003,15</v>
      </c>
      <c r="J53" s="7" t="str">
        <f t="shared" si="17"/>
        <v>1003,15,14</v>
      </c>
      <c r="K53" s="7" t="str">
        <f t="shared" si="36"/>
        <v/>
      </c>
      <c r="L53" s="7" t="str">
        <f t="shared" si="18"/>
        <v/>
      </c>
      <c r="M53" s="7" t="str">
        <f t="shared" si="19"/>
        <v>1003,15,14</v>
      </c>
      <c r="N53" s="7" t="str">
        <f t="shared" si="36"/>
        <v>1003,15</v>
      </c>
      <c r="O53" s="7" t="str">
        <f t="shared" si="20"/>
        <v>1003,15,14</v>
      </c>
      <c r="P53" s="7" t="str">
        <f t="shared" si="21"/>
        <v/>
      </c>
      <c r="Q53" s="7" t="str">
        <f t="shared" si="22"/>
        <v/>
      </c>
      <c r="R53" s="7" t="str">
        <f t="shared" si="23"/>
        <v>1003,15,14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7">IF(I16="","",_xlfn.TEXTJOIN(",",TRUE,I16:J16))</f>
        <v>1003,10</v>
      </c>
      <c r="J54" s="7" t="str">
        <f t="shared" si="17"/>
        <v>1003,10,15</v>
      </c>
      <c r="K54" s="7" t="str">
        <f t="shared" si="37"/>
        <v>1005,5</v>
      </c>
      <c r="L54" s="7" t="str">
        <f t="shared" si="18"/>
        <v>1005,5,15</v>
      </c>
      <c r="M54" s="7" t="str">
        <f t="shared" si="19"/>
        <v>1003,10,15;1005,5,15</v>
      </c>
      <c r="N54" s="7" t="str">
        <f t="shared" si="37"/>
        <v>1003,10</v>
      </c>
      <c r="O54" s="7" t="str">
        <f t="shared" si="20"/>
        <v>1003,10,15</v>
      </c>
      <c r="P54" s="7" t="str">
        <f t="shared" si="21"/>
        <v>1005,5</v>
      </c>
      <c r="Q54" s="7" t="str">
        <f t="shared" si="22"/>
        <v>1005,5,15</v>
      </c>
      <c r="R54" s="7" t="str">
        <f t="shared" si="23"/>
        <v>1003,10,15;1005,5,15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8">IF(I17="","",_xlfn.TEXTJOIN(",",TRUE,I17:J17))</f>
        <v>1003,15</v>
      </c>
      <c r="J55" s="7" t="str">
        <f t="shared" si="17"/>
        <v>1003,15,16</v>
      </c>
      <c r="K55" s="7" t="str">
        <f t="shared" si="38"/>
        <v/>
      </c>
      <c r="L55" s="7" t="str">
        <f t="shared" si="18"/>
        <v/>
      </c>
      <c r="M55" s="7" t="str">
        <f t="shared" si="19"/>
        <v>1003,15,16</v>
      </c>
      <c r="N55" s="7" t="str">
        <f t="shared" si="38"/>
        <v>1003,15</v>
      </c>
      <c r="O55" s="7" t="str">
        <f t="shared" si="20"/>
        <v>1003,15,16</v>
      </c>
      <c r="P55" s="7" t="str">
        <f t="shared" si="21"/>
        <v/>
      </c>
      <c r="Q55" s="7" t="str">
        <f t="shared" si="22"/>
        <v/>
      </c>
      <c r="R55" s="7" t="str">
        <f t="shared" si="23"/>
        <v>1003,15,16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9">IF(I18="","",_xlfn.TEXTJOIN(",",TRUE,I18:J18))</f>
        <v>1003,15</v>
      </c>
      <c r="J56" s="7" t="str">
        <f t="shared" si="17"/>
        <v>1003,15,17</v>
      </c>
      <c r="K56" s="7" t="str">
        <f t="shared" si="39"/>
        <v/>
      </c>
      <c r="L56" s="7" t="str">
        <f t="shared" si="18"/>
        <v/>
      </c>
      <c r="M56" s="7" t="str">
        <f t="shared" si="19"/>
        <v>1003,15,17</v>
      </c>
      <c r="N56" s="7" t="str">
        <f t="shared" si="39"/>
        <v>1003,15</v>
      </c>
      <c r="O56" s="7" t="str">
        <f t="shared" si="20"/>
        <v>1003,15,17</v>
      </c>
      <c r="P56" s="7" t="str">
        <f t="shared" si="21"/>
        <v/>
      </c>
      <c r="Q56" s="7" t="str">
        <f t="shared" si="22"/>
        <v/>
      </c>
      <c r="R56" s="7" t="str">
        <f t="shared" si="23"/>
        <v>1003,15,17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40">IF(I19="","",_xlfn.TEXTJOIN(",",TRUE,I19:J19))</f>
        <v>1003,15</v>
      </c>
      <c r="J57" s="7" t="str">
        <f t="shared" si="17"/>
        <v>1003,15,18</v>
      </c>
      <c r="K57" s="7" t="str">
        <f t="shared" si="40"/>
        <v/>
      </c>
      <c r="L57" s="7" t="str">
        <f t="shared" si="18"/>
        <v/>
      </c>
      <c r="M57" s="7" t="str">
        <f t="shared" si="19"/>
        <v>1003,15,18</v>
      </c>
      <c r="N57" s="7" t="str">
        <f t="shared" si="40"/>
        <v>1003,15</v>
      </c>
      <c r="O57" s="7" t="str">
        <f t="shared" si="20"/>
        <v>1003,15,18</v>
      </c>
      <c r="P57" s="7" t="str">
        <f t="shared" si="21"/>
        <v/>
      </c>
      <c r="Q57" s="7" t="str">
        <f t="shared" si="22"/>
        <v/>
      </c>
      <c r="R57" s="7" t="str">
        <f t="shared" si="23"/>
        <v>1003,15,18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41">IF(I20="","",_xlfn.TEXTJOIN(",",TRUE,I20:J20))</f>
        <v>1003,15</v>
      </c>
      <c r="J58" s="7" t="str">
        <f t="shared" si="17"/>
        <v>1003,15,19</v>
      </c>
      <c r="K58" s="7" t="str">
        <f t="shared" si="41"/>
        <v/>
      </c>
      <c r="L58" s="7" t="str">
        <f t="shared" si="18"/>
        <v/>
      </c>
      <c r="M58" s="7" t="str">
        <f t="shared" si="19"/>
        <v>1003,15,19</v>
      </c>
      <c r="N58" s="7" t="str">
        <f t="shared" si="41"/>
        <v>1003,15</v>
      </c>
      <c r="O58" s="7" t="str">
        <f t="shared" si="20"/>
        <v>1003,15,19</v>
      </c>
      <c r="P58" s="7" t="str">
        <f t="shared" si="21"/>
        <v/>
      </c>
      <c r="Q58" s="7" t="str">
        <f t="shared" si="22"/>
        <v/>
      </c>
      <c r="R58" s="7" t="str">
        <f t="shared" si="23"/>
        <v>1003,15,19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2">IF(I21="","",_xlfn.TEXTJOIN(",",TRUE,I21:J21))</f>
        <v>1003,15</v>
      </c>
      <c r="J59" s="7" t="str">
        <f t="shared" si="17"/>
        <v>1003,15,20</v>
      </c>
      <c r="K59" s="7" t="str">
        <f t="shared" si="42"/>
        <v>1006,1</v>
      </c>
      <c r="L59" s="7" t="str">
        <f t="shared" si="18"/>
        <v>1006,1,20</v>
      </c>
      <c r="M59" s="7" t="str">
        <f t="shared" si="19"/>
        <v>1003,15,20;1006,1,20</v>
      </c>
      <c r="N59" s="7" t="str">
        <f t="shared" si="42"/>
        <v>1003,15</v>
      </c>
      <c r="O59" s="7" t="str">
        <f t="shared" si="20"/>
        <v>1003,15,20</v>
      </c>
      <c r="P59" s="7" t="str">
        <f t="shared" si="21"/>
        <v>1006,1</v>
      </c>
      <c r="Q59" s="7" t="str">
        <f t="shared" si="22"/>
        <v>1006,1,20</v>
      </c>
      <c r="R59" s="7" t="str">
        <f t="shared" si="23"/>
        <v>1003,15,20;1006,1,20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3">IF(I22="","",_xlfn.TEXTJOIN(",",TRUE,I22:J22))</f>
        <v>1003,20</v>
      </c>
      <c r="J60" s="7" t="str">
        <f t="shared" si="17"/>
        <v>1003,20,21</v>
      </c>
      <c r="K60" s="7" t="str">
        <f t="shared" si="43"/>
        <v/>
      </c>
      <c r="L60" s="7" t="str">
        <f t="shared" si="18"/>
        <v/>
      </c>
      <c r="M60" s="7" t="str">
        <f t="shared" si="19"/>
        <v>1003,20,21</v>
      </c>
      <c r="N60" s="7" t="str">
        <f t="shared" si="43"/>
        <v>1003,20</v>
      </c>
      <c r="O60" s="7" t="str">
        <f t="shared" si="20"/>
        <v>1003,20,21</v>
      </c>
      <c r="P60" s="7" t="str">
        <f t="shared" si="21"/>
        <v/>
      </c>
      <c r="Q60" s="7" t="str">
        <f t="shared" si="22"/>
        <v/>
      </c>
      <c r="R60" s="7" t="str">
        <f t="shared" si="23"/>
        <v>1003,20,21</v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4">IF(I23="","",_xlfn.TEXTJOIN(",",TRUE,I23:J23))</f>
        <v>1003,20</v>
      </c>
      <c r="J61" s="7" t="str">
        <f t="shared" si="17"/>
        <v>1003,20,22</v>
      </c>
      <c r="K61" s="7" t="str">
        <f t="shared" si="44"/>
        <v/>
      </c>
      <c r="L61" s="7" t="str">
        <f t="shared" si="18"/>
        <v/>
      </c>
      <c r="M61" s="7" t="str">
        <f t="shared" si="19"/>
        <v>1003,20,22</v>
      </c>
      <c r="N61" s="7" t="str">
        <f t="shared" si="44"/>
        <v>1003,20</v>
      </c>
      <c r="O61" s="7" t="str">
        <f t="shared" si="20"/>
        <v>1003,20,22</v>
      </c>
      <c r="P61" s="7" t="str">
        <f t="shared" si="21"/>
        <v/>
      </c>
      <c r="Q61" s="7" t="str">
        <f t="shared" si="22"/>
        <v/>
      </c>
      <c r="R61" s="7" t="str">
        <f t="shared" si="23"/>
        <v>1003,20,22</v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5">IF(I24="","",_xlfn.TEXTJOIN(",",TRUE,I24:J24))</f>
        <v>1003,20</v>
      </c>
      <c r="J62" s="7" t="str">
        <f t="shared" si="17"/>
        <v>1003,20,23</v>
      </c>
      <c r="K62" s="7" t="str">
        <f t="shared" si="45"/>
        <v/>
      </c>
      <c r="L62" s="7" t="str">
        <f t="shared" si="18"/>
        <v/>
      </c>
      <c r="M62" s="7" t="str">
        <f t="shared" si="19"/>
        <v>1003,20,23</v>
      </c>
      <c r="N62" s="7" t="str">
        <f t="shared" si="45"/>
        <v>1003,20</v>
      </c>
      <c r="O62" s="7" t="str">
        <f t="shared" si="20"/>
        <v>1003,20,23</v>
      </c>
      <c r="P62" s="7" t="str">
        <f t="shared" si="21"/>
        <v/>
      </c>
      <c r="Q62" s="7" t="str">
        <f t="shared" si="22"/>
        <v/>
      </c>
      <c r="R62" s="7" t="str">
        <f t="shared" si="23"/>
        <v>1003,20,23</v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6">IF(I25="","",_xlfn.TEXTJOIN(",",TRUE,I25:J25))</f>
        <v>1003,20</v>
      </c>
      <c r="J63" s="7" t="str">
        <f t="shared" si="17"/>
        <v>1003,20,24</v>
      </c>
      <c r="K63" s="7" t="str">
        <f t="shared" si="46"/>
        <v/>
      </c>
      <c r="L63" s="7" t="str">
        <f t="shared" si="18"/>
        <v/>
      </c>
      <c r="M63" s="7" t="str">
        <f t="shared" si="19"/>
        <v>1003,20,24</v>
      </c>
      <c r="N63" s="7" t="str">
        <f t="shared" si="46"/>
        <v>1003,20</v>
      </c>
      <c r="O63" s="7" t="str">
        <f t="shared" si="20"/>
        <v>1003,20,24</v>
      </c>
      <c r="P63" s="7" t="str">
        <f t="shared" si="21"/>
        <v/>
      </c>
      <c r="Q63" s="7" t="str">
        <f t="shared" si="22"/>
        <v/>
      </c>
      <c r="R63" s="7" t="str">
        <f t="shared" si="23"/>
        <v>1003,20,24</v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7">IF(I26="","",_xlfn.TEXTJOIN(",",TRUE,I26:J26))</f>
        <v>1003,10</v>
      </c>
      <c r="J64" s="7" t="str">
        <f t="shared" si="17"/>
        <v>1003,10,25</v>
      </c>
      <c r="K64" s="7" t="str">
        <f t="shared" si="47"/>
        <v>1005,5</v>
      </c>
      <c r="L64" s="7" t="str">
        <f t="shared" si="18"/>
        <v>1005,5,25</v>
      </c>
      <c r="M64" s="7" t="str">
        <f t="shared" si="19"/>
        <v>1003,10,25;1005,5,25</v>
      </c>
      <c r="N64" s="7" t="str">
        <f t="shared" si="47"/>
        <v>1003,10</v>
      </c>
      <c r="O64" s="7" t="str">
        <f t="shared" si="20"/>
        <v>1003,10,25</v>
      </c>
      <c r="P64" s="7" t="str">
        <f t="shared" si="21"/>
        <v>1005,5</v>
      </c>
      <c r="Q64" s="7" t="str">
        <f t="shared" si="22"/>
        <v>1005,5,25</v>
      </c>
      <c r="R64" s="7" t="str">
        <f t="shared" si="23"/>
        <v>1003,10,25;1005,5,25</v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8">IF(I27="","",_xlfn.TEXTJOIN(",",TRUE,I27:J27))</f>
        <v>1003,20</v>
      </c>
      <c r="J65" s="7" t="str">
        <f t="shared" si="17"/>
        <v>1003,20,26</v>
      </c>
      <c r="K65" s="7" t="str">
        <f t="shared" si="48"/>
        <v/>
      </c>
      <c r="L65" s="7" t="str">
        <f t="shared" si="18"/>
        <v/>
      </c>
      <c r="M65" s="7" t="str">
        <f t="shared" si="19"/>
        <v>1003,20,26</v>
      </c>
      <c r="N65" s="7" t="str">
        <f t="shared" si="48"/>
        <v>1003,20</v>
      </c>
      <c r="O65" s="7" t="str">
        <f t="shared" si="20"/>
        <v>1003,20,26</v>
      </c>
      <c r="P65" s="7" t="str">
        <f t="shared" si="21"/>
        <v/>
      </c>
      <c r="Q65" s="7" t="str">
        <f t="shared" si="22"/>
        <v/>
      </c>
      <c r="R65" s="7" t="str">
        <f t="shared" si="23"/>
        <v>1003,20,26</v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9">IF(I28="","",_xlfn.TEXTJOIN(",",TRUE,I28:J28))</f>
        <v>1003,20</v>
      </c>
      <c r="J66" s="7" t="str">
        <f t="shared" si="17"/>
        <v>1003,20,27</v>
      </c>
      <c r="K66" s="7" t="str">
        <f t="shared" si="49"/>
        <v/>
      </c>
      <c r="L66" s="7" t="str">
        <f t="shared" si="18"/>
        <v/>
      </c>
      <c r="M66" s="7" t="str">
        <f t="shared" si="19"/>
        <v>1003,20,27</v>
      </c>
      <c r="N66" s="7" t="str">
        <f t="shared" si="49"/>
        <v>1003,20</v>
      </c>
      <c r="O66" s="7" t="str">
        <f t="shared" si="20"/>
        <v>1003,20,27</v>
      </c>
      <c r="P66" s="7" t="str">
        <f t="shared" si="21"/>
        <v/>
      </c>
      <c r="Q66" s="7" t="str">
        <f t="shared" si="22"/>
        <v/>
      </c>
      <c r="R66" s="7" t="str">
        <f t="shared" si="23"/>
        <v>1003,20,27</v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50">IF(I29="","",_xlfn.TEXTJOIN(",",TRUE,I29:J29))</f>
        <v>1003,20</v>
      </c>
      <c r="J67" s="7" t="str">
        <f t="shared" si="17"/>
        <v>1003,20,28</v>
      </c>
      <c r="K67" s="7" t="str">
        <f t="shared" si="50"/>
        <v/>
      </c>
      <c r="L67" s="7" t="str">
        <f t="shared" si="18"/>
        <v/>
      </c>
      <c r="M67" s="7" t="str">
        <f t="shared" si="19"/>
        <v>1003,20,28</v>
      </c>
      <c r="N67" s="7" t="str">
        <f t="shared" si="50"/>
        <v>1003,20</v>
      </c>
      <c r="O67" s="7" t="str">
        <f t="shared" si="20"/>
        <v>1003,20,28</v>
      </c>
      <c r="P67" s="7" t="str">
        <f t="shared" si="21"/>
        <v/>
      </c>
      <c r="Q67" s="7" t="str">
        <f t="shared" si="22"/>
        <v/>
      </c>
      <c r="R67" s="7" t="str">
        <f t="shared" si="23"/>
        <v>1003,20,28</v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51">IF(I30="","",_xlfn.TEXTJOIN(",",TRUE,I30:J30))</f>
        <v>1003,20</v>
      </c>
      <c r="J68" s="7" t="str">
        <f t="shared" si="17"/>
        <v>1003,20,29</v>
      </c>
      <c r="K68" s="7" t="str">
        <f t="shared" si="51"/>
        <v/>
      </c>
      <c r="L68" s="7" t="str">
        <f t="shared" si="18"/>
        <v/>
      </c>
      <c r="M68" s="7" t="str">
        <f t="shared" si="19"/>
        <v>1003,20,29</v>
      </c>
      <c r="N68" s="7" t="str">
        <f t="shared" si="51"/>
        <v>1003,20</v>
      </c>
      <c r="O68" s="7" t="str">
        <f t="shared" si="20"/>
        <v>1003,20,29</v>
      </c>
      <c r="P68" s="7" t="str">
        <f t="shared" si="21"/>
        <v/>
      </c>
      <c r="Q68" s="7" t="str">
        <f t="shared" si="22"/>
        <v/>
      </c>
      <c r="R68" s="7" t="str">
        <f t="shared" si="23"/>
        <v>1003,20,29</v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2">IF(I31="","",_xlfn.TEXTJOIN(",",TRUE,I31:J31))</f>
        <v>1003,20</v>
      </c>
      <c r="J69" s="7" t="str">
        <f t="shared" si="17"/>
        <v>1003,20,30</v>
      </c>
      <c r="K69" s="7" t="str">
        <f t="shared" si="52"/>
        <v>1006,1</v>
      </c>
      <c r="L69" s="7" t="str">
        <f t="shared" si="18"/>
        <v>1006,1,30</v>
      </c>
      <c r="M69" s="7" t="str">
        <f t="shared" si="19"/>
        <v>1003,20,30;1006,1,30</v>
      </c>
      <c r="N69" s="7" t="str">
        <f t="shared" si="52"/>
        <v>1003,20</v>
      </c>
      <c r="O69" s="7" t="str">
        <f t="shared" si="20"/>
        <v>1003,20,30</v>
      </c>
      <c r="P69" s="7" t="str">
        <f t="shared" si="21"/>
        <v>1006,1</v>
      </c>
      <c r="Q69" s="7" t="str">
        <f t="shared" si="22"/>
        <v>1006,1,30</v>
      </c>
      <c r="R69" s="7" t="str">
        <f t="shared" si="23"/>
        <v>1003,20,30;1006,1,30</v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1001,10,1|1001,10,2|1001,10,3|1001,10,4|1002,5,5;1005,5,5|1002,10,6|1002,10,7|1002,10,8|1002,10,9|1002,10,10;1006,1,10|1003,15,11|1003,15,12|1003,15,13|1003,15,14|1003,10,15;1005,5,15|1003,15,16|1003,15,17|1003,15,18|1003,15,19|1003,15,20;1006,1,20|1003,20,21|1003,20,22|1003,20,23|1003,20,24|1003,10,25;1005,5,25|1003,20,26|1003,20,27|1003,20,28|1003,20,29|1003,20,30;1006,1,30</v>
      </c>
      <c r="N71" s="7"/>
      <c r="O71" s="7"/>
      <c r="P71" s="7"/>
      <c r="Q71" s="7"/>
      <c r="R71" s="15" t="str">
        <f>_xlfn.TEXTJOIN("|",TRUE,R40:R69)</f>
        <v>1001,10,1|1001,10,2|1001,10,3|1001,10,4|1002,5,5;1005,5,5|1002,10,6|1002,10,7|1002,10,8|1002,10,9|1002,10,10;1006,1,10|1003,15,11|1003,15,12|1003,15,13|1003,15,14|1003,10,15;1005,5,15|1003,15,16|1003,15,17|1003,15,18|1003,15,19|1003,15,20;1006,1,20|1003,20,21|1003,20,22|1003,20,23|1003,20,24|1003,10,25;1005,5,25|1003,20,26|1003,20,27|1003,20,28|1003,20,29|1003,20,30;1006,1,30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4</v>
      </c>
      <c r="O79" s="4">
        <f>W79*(1-(N79-1)/6)*1</f>
        <v>1</v>
      </c>
      <c r="P79" s="7">
        <f>W79/6*1</f>
        <v>0.333333333333333</v>
      </c>
      <c r="Q79" s="7">
        <f>W79/6*1</f>
        <v>0.333333333333333</v>
      </c>
      <c r="R79" s="7">
        <f>W79/6*1</f>
        <v>0.333333333333333</v>
      </c>
      <c r="S79" s="7">
        <v>0</v>
      </c>
      <c r="T79" s="7">
        <v>0</v>
      </c>
      <c r="U79" s="7">
        <f t="shared" ref="U79:U108" si="53">SUM(P79:T79)+O79*0.2</f>
        <v>1.2</v>
      </c>
      <c r="V79" s="4">
        <v>1</v>
      </c>
      <c r="W79" s="7">
        <f t="shared" ref="W79:W108" si="54">C2</f>
        <v>2</v>
      </c>
      <c r="X79" s="4">
        <f t="shared" ref="X79:X108" si="55">(O79*W79)^V79</f>
        <v>2</v>
      </c>
      <c r="Y79" s="4">
        <f t="shared" ref="Y79:Y108" si="56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7">$R$77*U79*(AB79+AC79)</f>
        <v>1050</v>
      </c>
      <c r="AE79" s="4">
        <f t="shared" ref="AE79:AE108" si="58">ROUND(AD79/AA79*V79,0)</f>
        <v>53</v>
      </c>
      <c r="AF79" s="4">
        <f t="shared" ref="AF79:AF108" si="59">ROUND(AD79/AA79*V79*AG79,0)</f>
        <v>18</v>
      </c>
      <c r="AG79" s="4">
        <v>0.35</v>
      </c>
      <c r="AH79" s="4">
        <f>AF79</f>
        <v>18</v>
      </c>
    </row>
    <row r="80" customFormat="1" spans="1:34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4</v>
      </c>
      <c r="O80" s="4">
        <f t="shared" ref="O80:O108" si="60">W80*(1-(N80-1)/6)*1</f>
        <v>2</v>
      </c>
      <c r="P80" s="7">
        <f t="shared" ref="P80:P108" si="61">W80/6*1</f>
        <v>0.666666666666667</v>
      </c>
      <c r="Q80" s="7">
        <f t="shared" ref="Q80:Q108" si="62">W80/6*1</f>
        <v>0.666666666666667</v>
      </c>
      <c r="R80" s="7">
        <f t="shared" ref="R80:R108" si="63">W80/6*1</f>
        <v>0.666666666666667</v>
      </c>
      <c r="S80" s="7">
        <v>0</v>
      </c>
      <c r="T80" s="7">
        <v>0</v>
      </c>
      <c r="U80" s="7">
        <f t="shared" si="53"/>
        <v>2.4</v>
      </c>
      <c r="V80" s="4">
        <v>1</v>
      </c>
      <c r="W80" s="7">
        <f t="shared" si="54"/>
        <v>4</v>
      </c>
      <c r="X80" s="4">
        <f t="shared" si="55"/>
        <v>8</v>
      </c>
      <c r="Y80" s="4">
        <f t="shared" si="56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7"/>
        <v>2100</v>
      </c>
      <c r="AE80" s="4">
        <f t="shared" si="58"/>
        <v>105</v>
      </c>
      <c r="AF80" s="4">
        <f t="shared" si="59"/>
        <v>37</v>
      </c>
      <c r="AG80" s="4">
        <v>0.35</v>
      </c>
      <c r="AH80" s="4">
        <f t="shared" ref="AH80:AH108" si="64">AF80</f>
        <v>37</v>
      </c>
    </row>
    <row r="81" customFormat="1" spans="1:34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4</v>
      </c>
      <c r="O81" s="4">
        <f t="shared" si="60"/>
        <v>3</v>
      </c>
      <c r="P81" s="7">
        <f t="shared" si="61"/>
        <v>1</v>
      </c>
      <c r="Q81" s="7">
        <f t="shared" si="62"/>
        <v>1</v>
      </c>
      <c r="R81" s="7">
        <f t="shared" si="63"/>
        <v>1</v>
      </c>
      <c r="S81" s="7">
        <v>0</v>
      </c>
      <c r="T81" s="7">
        <v>0</v>
      </c>
      <c r="U81" s="7">
        <f t="shared" si="53"/>
        <v>3.6</v>
      </c>
      <c r="V81" s="4">
        <v>1</v>
      </c>
      <c r="W81" s="7">
        <f t="shared" si="54"/>
        <v>6</v>
      </c>
      <c r="X81" s="4">
        <f t="shared" si="55"/>
        <v>18</v>
      </c>
      <c r="Y81" s="4">
        <f t="shared" si="56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7"/>
        <v>3150</v>
      </c>
      <c r="AE81" s="4">
        <f t="shared" si="58"/>
        <v>158</v>
      </c>
      <c r="AF81" s="4">
        <f t="shared" si="59"/>
        <v>63</v>
      </c>
      <c r="AG81" s="4">
        <v>0.4</v>
      </c>
      <c r="AH81" s="4">
        <f t="shared" si="64"/>
        <v>63</v>
      </c>
    </row>
    <row r="82" customFormat="1" spans="1:34">
      <c r="A82" s="4">
        <v>4</v>
      </c>
      <c r="B82" s="7">
        <v>1</v>
      </c>
      <c r="C82" s="7"/>
      <c r="D82" s="7"/>
      <c r="E82" s="7"/>
      <c r="F82" s="7"/>
      <c r="G82" s="7"/>
      <c r="H82" s="4">
        <v>1</v>
      </c>
      <c r="I82" s="4"/>
      <c r="J82" s="7"/>
      <c r="K82" s="7"/>
      <c r="L82" s="7">
        <v>0</v>
      </c>
      <c r="M82" s="7">
        <v>0</v>
      </c>
      <c r="N82" s="7">
        <v>4</v>
      </c>
      <c r="O82" s="4">
        <f t="shared" si="60"/>
        <v>3.5</v>
      </c>
      <c r="P82" s="7">
        <f t="shared" si="61"/>
        <v>1.16666666666667</v>
      </c>
      <c r="Q82" s="7">
        <f t="shared" si="62"/>
        <v>1.16666666666667</v>
      </c>
      <c r="R82" s="7">
        <f t="shared" si="63"/>
        <v>1.16666666666667</v>
      </c>
      <c r="S82" s="7">
        <v>0</v>
      </c>
      <c r="T82" s="7">
        <v>0</v>
      </c>
      <c r="U82" s="7">
        <f t="shared" si="53"/>
        <v>4.2</v>
      </c>
      <c r="V82" s="4">
        <v>1</v>
      </c>
      <c r="W82" s="7">
        <f t="shared" si="54"/>
        <v>7</v>
      </c>
      <c r="X82" s="4">
        <f t="shared" si="55"/>
        <v>24.5</v>
      </c>
      <c r="Y82" s="4">
        <f t="shared" si="56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7"/>
        <v>3675</v>
      </c>
      <c r="AE82" s="4">
        <f t="shared" si="58"/>
        <v>184</v>
      </c>
      <c r="AF82" s="4">
        <f t="shared" si="59"/>
        <v>74</v>
      </c>
      <c r="AG82" s="4">
        <v>0.4</v>
      </c>
      <c r="AH82" s="4">
        <f t="shared" si="64"/>
        <v>74</v>
      </c>
    </row>
    <row r="83" customFormat="1" spans="1:34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4</v>
      </c>
      <c r="O83" s="4">
        <f t="shared" si="60"/>
        <v>4.5</v>
      </c>
      <c r="P83" s="7">
        <f t="shared" si="61"/>
        <v>1.5</v>
      </c>
      <c r="Q83" s="7">
        <f t="shared" si="62"/>
        <v>1.5</v>
      </c>
      <c r="R83" s="7">
        <f t="shared" si="63"/>
        <v>1.5</v>
      </c>
      <c r="S83" s="7">
        <v>0</v>
      </c>
      <c r="T83" s="7">
        <v>0</v>
      </c>
      <c r="U83" s="7">
        <f t="shared" si="53"/>
        <v>5.4</v>
      </c>
      <c r="V83" s="4">
        <v>1</v>
      </c>
      <c r="W83" s="7">
        <f t="shared" si="54"/>
        <v>9</v>
      </c>
      <c r="X83" s="4">
        <f t="shared" si="55"/>
        <v>40.5</v>
      </c>
      <c r="Y83" s="4">
        <f t="shared" si="56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7"/>
        <v>4725</v>
      </c>
      <c r="AE83" s="4">
        <f t="shared" si="58"/>
        <v>118</v>
      </c>
      <c r="AF83" s="4">
        <f t="shared" si="59"/>
        <v>53</v>
      </c>
      <c r="AG83" s="4">
        <v>0.45</v>
      </c>
      <c r="AH83" s="4">
        <f t="shared" si="64"/>
        <v>53</v>
      </c>
    </row>
    <row r="84" customFormat="1" spans="1:34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/>
      <c r="K84" s="7"/>
      <c r="L84" s="7">
        <v>0</v>
      </c>
      <c r="M84" s="7">
        <v>0</v>
      </c>
      <c r="N84" s="7">
        <v>4</v>
      </c>
      <c r="O84" s="4">
        <f t="shared" si="60"/>
        <v>5.5</v>
      </c>
      <c r="P84" s="7">
        <f t="shared" si="61"/>
        <v>1.83333333333333</v>
      </c>
      <c r="Q84" s="7">
        <f t="shared" si="62"/>
        <v>1.83333333333333</v>
      </c>
      <c r="R84" s="7">
        <f t="shared" si="63"/>
        <v>1.83333333333333</v>
      </c>
      <c r="S84" s="7">
        <v>0</v>
      </c>
      <c r="T84" s="7">
        <v>0</v>
      </c>
      <c r="U84" s="7">
        <f t="shared" si="53"/>
        <v>6.6</v>
      </c>
      <c r="V84" s="4">
        <v>1</v>
      </c>
      <c r="W84" s="7">
        <f t="shared" si="54"/>
        <v>11</v>
      </c>
      <c r="X84" s="4">
        <f t="shared" si="55"/>
        <v>60.5</v>
      </c>
      <c r="Y84" s="4">
        <f t="shared" si="56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7"/>
        <v>5775</v>
      </c>
      <c r="AE84" s="4">
        <f t="shared" si="58"/>
        <v>289</v>
      </c>
      <c r="AF84" s="4">
        <f t="shared" si="59"/>
        <v>130</v>
      </c>
      <c r="AG84" s="4">
        <v>0.45</v>
      </c>
      <c r="AH84" s="4">
        <f t="shared" si="64"/>
        <v>130</v>
      </c>
    </row>
    <row r="85" customFormat="1" spans="1:34">
      <c r="A85" s="9">
        <v>7</v>
      </c>
      <c r="B85" s="10"/>
      <c r="C85" s="10"/>
      <c r="D85" s="10"/>
      <c r="E85" s="10"/>
      <c r="F85" s="10"/>
      <c r="G85" s="10"/>
      <c r="H85" s="4">
        <v>0.5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 t="shared" si="60"/>
        <v>6.5</v>
      </c>
      <c r="P85" s="7">
        <f t="shared" si="61"/>
        <v>2.16666666666667</v>
      </c>
      <c r="Q85" s="7">
        <f t="shared" si="62"/>
        <v>2.16666666666667</v>
      </c>
      <c r="R85" s="7">
        <f t="shared" si="63"/>
        <v>2.16666666666667</v>
      </c>
      <c r="S85" s="7">
        <v>0</v>
      </c>
      <c r="T85" s="7">
        <v>0</v>
      </c>
      <c r="U85" s="7">
        <f t="shared" si="53"/>
        <v>7.8</v>
      </c>
      <c r="V85" s="4">
        <v>1</v>
      </c>
      <c r="W85" s="7">
        <f t="shared" si="54"/>
        <v>13</v>
      </c>
      <c r="X85" s="4">
        <f t="shared" si="55"/>
        <v>84.5</v>
      </c>
      <c r="Y85" s="4">
        <f t="shared" si="56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7"/>
        <v>6825</v>
      </c>
      <c r="AE85" s="4">
        <f t="shared" si="58"/>
        <v>341</v>
      </c>
      <c r="AF85" s="4">
        <f t="shared" si="59"/>
        <v>154</v>
      </c>
      <c r="AG85" s="4">
        <v>0.45</v>
      </c>
      <c r="AH85" s="4">
        <f t="shared" si="64"/>
        <v>154</v>
      </c>
    </row>
    <row r="86" customFormat="1" spans="1:34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 t="shared" si="60"/>
        <v>7</v>
      </c>
      <c r="P86" s="7">
        <f t="shared" si="61"/>
        <v>2.33333333333333</v>
      </c>
      <c r="Q86" s="7">
        <f t="shared" si="62"/>
        <v>2.33333333333333</v>
      </c>
      <c r="R86" s="7">
        <f t="shared" si="63"/>
        <v>2.33333333333333</v>
      </c>
      <c r="S86" s="7">
        <v>0</v>
      </c>
      <c r="T86" s="7">
        <v>0</v>
      </c>
      <c r="U86" s="7">
        <f t="shared" si="53"/>
        <v>8.4</v>
      </c>
      <c r="V86" s="4">
        <v>1</v>
      </c>
      <c r="W86" s="7">
        <f t="shared" si="54"/>
        <v>14</v>
      </c>
      <c r="X86" s="4">
        <f t="shared" si="55"/>
        <v>98</v>
      </c>
      <c r="Y86" s="4">
        <f t="shared" si="56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7"/>
        <v>7350</v>
      </c>
      <c r="AE86" s="4">
        <f t="shared" si="58"/>
        <v>368</v>
      </c>
      <c r="AF86" s="4">
        <f t="shared" si="59"/>
        <v>165</v>
      </c>
      <c r="AG86" s="4">
        <v>0.45</v>
      </c>
      <c r="AH86" s="4">
        <f t="shared" si="64"/>
        <v>165</v>
      </c>
    </row>
    <row r="87" customFormat="1" spans="1:34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 t="shared" si="60"/>
        <v>8</v>
      </c>
      <c r="P87" s="7">
        <f t="shared" si="61"/>
        <v>2.66666666666667</v>
      </c>
      <c r="Q87" s="7">
        <f t="shared" si="62"/>
        <v>2.66666666666667</v>
      </c>
      <c r="R87" s="7">
        <f t="shared" si="63"/>
        <v>2.66666666666667</v>
      </c>
      <c r="S87" s="7">
        <v>0</v>
      </c>
      <c r="T87" s="7">
        <v>0</v>
      </c>
      <c r="U87" s="7">
        <f t="shared" si="53"/>
        <v>9.6</v>
      </c>
      <c r="V87" s="4">
        <v>1</v>
      </c>
      <c r="W87" s="7">
        <f t="shared" si="54"/>
        <v>16</v>
      </c>
      <c r="X87" s="4">
        <f t="shared" si="55"/>
        <v>128</v>
      </c>
      <c r="Y87" s="4">
        <f t="shared" si="56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7"/>
        <v>8400</v>
      </c>
      <c r="AE87" s="4">
        <f t="shared" si="58"/>
        <v>420</v>
      </c>
      <c r="AF87" s="4">
        <f t="shared" si="59"/>
        <v>189</v>
      </c>
      <c r="AG87" s="4">
        <v>0.45</v>
      </c>
      <c r="AH87" s="4">
        <f t="shared" si="64"/>
        <v>189</v>
      </c>
    </row>
    <row r="88" customFormat="1" spans="1:34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 t="shared" si="60"/>
        <v>9</v>
      </c>
      <c r="P88" s="7">
        <f t="shared" si="61"/>
        <v>3</v>
      </c>
      <c r="Q88" s="7">
        <f t="shared" si="62"/>
        <v>3</v>
      </c>
      <c r="R88" s="7">
        <f t="shared" si="63"/>
        <v>3</v>
      </c>
      <c r="S88" s="7">
        <v>0</v>
      </c>
      <c r="T88" s="7">
        <v>0</v>
      </c>
      <c r="U88" s="7">
        <f t="shared" si="53"/>
        <v>10.8</v>
      </c>
      <c r="V88" s="4">
        <v>1</v>
      </c>
      <c r="W88" s="7">
        <f t="shared" si="54"/>
        <v>18</v>
      </c>
      <c r="X88" s="4">
        <f t="shared" si="55"/>
        <v>162</v>
      </c>
      <c r="Y88" s="4">
        <f t="shared" si="56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7"/>
        <v>9450</v>
      </c>
      <c r="AE88" s="4">
        <f t="shared" si="58"/>
        <v>236</v>
      </c>
      <c r="AF88" s="4">
        <f t="shared" si="59"/>
        <v>118</v>
      </c>
      <c r="AG88" s="4">
        <v>0.5</v>
      </c>
      <c r="AH88" s="4">
        <f t="shared" si="64"/>
        <v>118</v>
      </c>
    </row>
    <row r="89" customFormat="1" spans="1:34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 t="shared" si="60"/>
        <v>10.5</v>
      </c>
      <c r="P89" s="7">
        <f t="shared" si="61"/>
        <v>3.5</v>
      </c>
      <c r="Q89" s="7">
        <f t="shared" si="62"/>
        <v>3.5</v>
      </c>
      <c r="R89" s="7">
        <f t="shared" si="63"/>
        <v>3.5</v>
      </c>
      <c r="S89" s="7">
        <v>0</v>
      </c>
      <c r="T89" s="7">
        <v>0</v>
      </c>
      <c r="U89" s="7">
        <f t="shared" si="53"/>
        <v>12.6</v>
      </c>
      <c r="V89" s="4">
        <v>1</v>
      </c>
      <c r="W89" s="7">
        <f t="shared" si="54"/>
        <v>21</v>
      </c>
      <c r="X89" s="4">
        <f t="shared" si="55"/>
        <v>220.5</v>
      </c>
      <c r="Y89" s="4">
        <f t="shared" si="56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7"/>
        <v>11025</v>
      </c>
      <c r="AE89" s="4">
        <f t="shared" si="58"/>
        <v>368</v>
      </c>
      <c r="AF89" s="4">
        <f t="shared" si="59"/>
        <v>184</v>
      </c>
      <c r="AG89" s="4">
        <v>0.5</v>
      </c>
      <c r="AH89" s="4">
        <f t="shared" si="64"/>
        <v>184</v>
      </c>
    </row>
    <row r="90" customFormat="1" spans="1:34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 t="shared" si="60"/>
        <v>11.5</v>
      </c>
      <c r="P90" s="7">
        <f t="shared" si="61"/>
        <v>3.83333333333333</v>
      </c>
      <c r="Q90" s="7">
        <f t="shared" si="62"/>
        <v>3.83333333333333</v>
      </c>
      <c r="R90" s="7">
        <f t="shared" si="63"/>
        <v>3.83333333333333</v>
      </c>
      <c r="S90" s="7">
        <v>0</v>
      </c>
      <c r="T90" s="7">
        <v>0</v>
      </c>
      <c r="U90" s="7">
        <f t="shared" si="53"/>
        <v>13.8</v>
      </c>
      <c r="V90" s="4">
        <v>1</v>
      </c>
      <c r="W90" s="7">
        <f t="shared" si="54"/>
        <v>23</v>
      </c>
      <c r="X90" s="4">
        <f t="shared" si="55"/>
        <v>264.5</v>
      </c>
      <c r="Y90" s="4">
        <f t="shared" si="56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7"/>
        <v>12075</v>
      </c>
      <c r="AE90" s="4">
        <f t="shared" si="58"/>
        <v>403</v>
      </c>
      <c r="AF90" s="4">
        <f t="shared" si="59"/>
        <v>221</v>
      </c>
      <c r="AG90" s="4">
        <v>0.55</v>
      </c>
      <c r="AH90" s="4">
        <f t="shared" si="64"/>
        <v>221</v>
      </c>
    </row>
    <row r="91" customFormat="1" spans="1:34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 t="shared" si="60"/>
        <v>13</v>
      </c>
      <c r="P91" s="7">
        <f t="shared" si="61"/>
        <v>4.33333333333333</v>
      </c>
      <c r="Q91" s="7">
        <f t="shared" si="62"/>
        <v>4.33333333333333</v>
      </c>
      <c r="R91" s="7">
        <f t="shared" si="63"/>
        <v>4.33333333333333</v>
      </c>
      <c r="S91" s="7">
        <v>0</v>
      </c>
      <c r="T91" s="7">
        <v>0</v>
      </c>
      <c r="U91" s="7">
        <f t="shared" si="53"/>
        <v>15.6</v>
      </c>
      <c r="V91" s="4">
        <v>1</v>
      </c>
      <c r="W91" s="7">
        <f t="shared" si="54"/>
        <v>26</v>
      </c>
      <c r="X91" s="4">
        <f t="shared" si="55"/>
        <v>338</v>
      </c>
      <c r="Y91" s="4">
        <f t="shared" si="56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7"/>
        <v>13650</v>
      </c>
      <c r="AE91" s="4">
        <f t="shared" si="58"/>
        <v>455</v>
      </c>
      <c r="AF91" s="4">
        <f t="shared" si="59"/>
        <v>250</v>
      </c>
      <c r="AG91" s="4">
        <v>0.55</v>
      </c>
      <c r="AH91" s="4">
        <f t="shared" si="64"/>
        <v>250</v>
      </c>
    </row>
    <row r="92" customFormat="1" spans="1:34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 t="shared" si="60"/>
        <v>14</v>
      </c>
      <c r="P92" s="7">
        <f t="shared" si="61"/>
        <v>4.66666666666667</v>
      </c>
      <c r="Q92" s="7">
        <f t="shared" si="62"/>
        <v>4.66666666666667</v>
      </c>
      <c r="R92" s="7">
        <f t="shared" si="63"/>
        <v>4.66666666666667</v>
      </c>
      <c r="S92" s="7">
        <v>0</v>
      </c>
      <c r="T92" s="7">
        <v>0</v>
      </c>
      <c r="U92" s="7">
        <f t="shared" si="53"/>
        <v>16.8</v>
      </c>
      <c r="V92" s="4">
        <v>1</v>
      </c>
      <c r="W92" s="7">
        <f t="shared" si="54"/>
        <v>28</v>
      </c>
      <c r="X92" s="4">
        <f t="shared" si="55"/>
        <v>392</v>
      </c>
      <c r="Y92" s="4">
        <f t="shared" si="56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7"/>
        <v>14700</v>
      </c>
      <c r="AE92" s="4">
        <f t="shared" si="58"/>
        <v>490</v>
      </c>
      <c r="AF92" s="4">
        <f t="shared" si="59"/>
        <v>270</v>
      </c>
      <c r="AG92" s="4">
        <v>0.55</v>
      </c>
      <c r="AH92" s="4">
        <f t="shared" si="64"/>
        <v>270</v>
      </c>
    </row>
    <row r="93" customFormat="1" spans="1:34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 t="shared" si="60"/>
        <v>15</v>
      </c>
      <c r="P93" s="7">
        <f t="shared" si="61"/>
        <v>5</v>
      </c>
      <c r="Q93" s="7">
        <f t="shared" si="62"/>
        <v>5</v>
      </c>
      <c r="R93" s="7">
        <f t="shared" si="63"/>
        <v>5</v>
      </c>
      <c r="S93" s="7">
        <v>0</v>
      </c>
      <c r="T93" s="7">
        <v>0</v>
      </c>
      <c r="U93" s="7">
        <f t="shared" si="53"/>
        <v>18</v>
      </c>
      <c r="V93" s="4">
        <v>1.1</v>
      </c>
      <c r="W93" s="7">
        <f t="shared" si="54"/>
        <v>30</v>
      </c>
      <c r="X93" s="4">
        <f t="shared" si="55"/>
        <v>828.960363063275</v>
      </c>
      <c r="Y93" s="4">
        <f t="shared" si="56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7"/>
        <v>15750</v>
      </c>
      <c r="AE93" s="4">
        <f t="shared" si="58"/>
        <v>433</v>
      </c>
      <c r="AF93" s="4">
        <f t="shared" si="59"/>
        <v>260</v>
      </c>
      <c r="AG93" s="4">
        <v>0.6</v>
      </c>
      <c r="AH93" s="4">
        <f t="shared" si="64"/>
        <v>260</v>
      </c>
    </row>
    <row r="94" customFormat="1" spans="1:34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 t="shared" si="60"/>
        <v>16.5</v>
      </c>
      <c r="P94" s="7">
        <f t="shared" si="61"/>
        <v>5.5</v>
      </c>
      <c r="Q94" s="7">
        <f t="shared" si="62"/>
        <v>5.5</v>
      </c>
      <c r="R94" s="7">
        <f t="shared" si="63"/>
        <v>5.5</v>
      </c>
      <c r="S94" s="7">
        <v>0</v>
      </c>
      <c r="T94" s="7">
        <v>0</v>
      </c>
      <c r="U94" s="7">
        <f t="shared" si="53"/>
        <v>19.8</v>
      </c>
      <c r="V94" s="4">
        <v>1.1</v>
      </c>
      <c r="W94" s="7">
        <f t="shared" si="54"/>
        <v>33</v>
      </c>
      <c r="X94" s="4">
        <f t="shared" si="55"/>
        <v>1022.34545946876</v>
      </c>
      <c r="Y94" s="4">
        <f t="shared" si="56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57"/>
        <v>17325</v>
      </c>
      <c r="AE94" s="4">
        <f t="shared" si="58"/>
        <v>635</v>
      </c>
      <c r="AF94" s="4">
        <f t="shared" si="59"/>
        <v>381</v>
      </c>
      <c r="AG94" s="4">
        <v>0.6</v>
      </c>
      <c r="AH94" s="4">
        <f t="shared" si="64"/>
        <v>381</v>
      </c>
    </row>
    <row r="95" customFormat="1" spans="1:34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 t="shared" si="60"/>
        <v>17.5</v>
      </c>
      <c r="P95" s="7">
        <f t="shared" si="61"/>
        <v>5.83333333333333</v>
      </c>
      <c r="Q95" s="7">
        <f t="shared" si="62"/>
        <v>5.83333333333333</v>
      </c>
      <c r="R95" s="7">
        <f t="shared" si="63"/>
        <v>5.83333333333333</v>
      </c>
      <c r="S95" s="7">
        <v>0</v>
      </c>
      <c r="T95" s="7">
        <v>0</v>
      </c>
      <c r="U95" s="7">
        <f t="shared" si="53"/>
        <v>21</v>
      </c>
      <c r="V95" s="4">
        <v>1.1</v>
      </c>
      <c r="W95" s="7">
        <f t="shared" si="54"/>
        <v>35</v>
      </c>
      <c r="X95" s="4">
        <f t="shared" si="55"/>
        <v>1163.63480384271</v>
      </c>
      <c r="Y95" s="4">
        <f t="shared" si="56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57"/>
        <v>18375</v>
      </c>
      <c r="AE95" s="4">
        <f t="shared" si="58"/>
        <v>674</v>
      </c>
      <c r="AF95" s="4">
        <f t="shared" si="59"/>
        <v>404</v>
      </c>
      <c r="AG95" s="4">
        <v>0.6</v>
      </c>
      <c r="AH95" s="4">
        <f t="shared" si="64"/>
        <v>404</v>
      </c>
    </row>
    <row r="96" customFormat="1" spans="1:34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 t="shared" si="60"/>
        <v>18.5</v>
      </c>
      <c r="P96" s="7">
        <f t="shared" si="61"/>
        <v>6.16666666666667</v>
      </c>
      <c r="Q96" s="7">
        <f t="shared" si="62"/>
        <v>6.16666666666667</v>
      </c>
      <c r="R96" s="7">
        <f t="shared" si="63"/>
        <v>6.16666666666667</v>
      </c>
      <c r="S96" s="7">
        <v>0</v>
      </c>
      <c r="T96" s="7">
        <v>0</v>
      </c>
      <c r="U96" s="7">
        <f t="shared" si="53"/>
        <v>22.2</v>
      </c>
      <c r="V96" s="4">
        <v>1.1</v>
      </c>
      <c r="W96" s="7">
        <f t="shared" si="54"/>
        <v>37</v>
      </c>
      <c r="X96" s="4">
        <f t="shared" si="55"/>
        <v>1314.95471821483</v>
      </c>
      <c r="Y96" s="4">
        <f t="shared" si="56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57"/>
        <v>19425</v>
      </c>
      <c r="AE96" s="4">
        <f t="shared" si="58"/>
        <v>712</v>
      </c>
      <c r="AF96" s="4">
        <f t="shared" si="59"/>
        <v>463</v>
      </c>
      <c r="AG96" s="4">
        <v>0.65</v>
      </c>
      <c r="AH96" s="4">
        <f t="shared" si="64"/>
        <v>463</v>
      </c>
    </row>
    <row r="97" customFormat="1" spans="1:34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 t="shared" si="60"/>
        <v>20</v>
      </c>
      <c r="P97" s="7">
        <f t="shared" si="61"/>
        <v>6.66666666666667</v>
      </c>
      <c r="Q97" s="7">
        <f t="shared" si="62"/>
        <v>6.66666666666667</v>
      </c>
      <c r="R97" s="7">
        <f t="shared" si="63"/>
        <v>6.66666666666667</v>
      </c>
      <c r="S97" s="7">
        <v>0</v>
      </c>
      <c r="T97" s="7">
        <v>0</v>
      </c>
      <c r="U97" s="7">
        <f t="shared" si="53"/>
        <v>24</v>
      </c>
      <c r="V97" s="4">
        <v>1.1</v>
      </c>
      <c r="W97" s="7">
        <f t="shared" si="54"/>
        <v>40</v>
      </c>
      <c r="X97" s="4">
        <f t="shared" si="55"/>
        <v>1560.98591971751</v>
      </c>
      <c r="Y97" s="4">
        <f t="shared" si="56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57"/>
        <v>21000</v>
      </c>
      <c r="AE97" s="4">
        <f t="shared" si="58"/>
        <v>770</v>
      </c>
      <c r="AF97" s="4">
        <f t="shared" si="59"/>
        <v>501</v>
      </c>
      <c r="AG97" s="4">
        <v>0.65</v>
      </c>
      <c r="AH97" s="4">
        <f t="shared" si="64"/>
        <v>501</v>
      </c>
    </row>
    <row r="98" customFormat="1" spans="1:34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 t="shared" si="60"/>
        <v>21</v>
      </c>
      <c r="P98" s="7">
        <f t="shared" si="61"/>
        <v>7</v>
      </c>
      <c r="Q98" s="7">
        <f t="shared" si="62"/>
        <v>7</v>
      </c>
      <c r="R98" s="7">
        <f t="shared" si="63"/>
        <v>7</v>
      </c>
      <c r="S98" s="7">
        <v>0</v>
      </c>
      <c r="T98" s="7">
        <v>0</v>
      </c>
      <c r="U98" s="7">
        <f t="shared" si="53"/>
        <v>25.2</v>
      </c>
      <c r="V98" s="4">
        <v>1.2</v>
      </c>
      <c r="W98" s="7">
        <f t="shared" si="54"/>
        <v>42</v>
      </c>
      <c r="X98" s="4">
        <f t="shared" si="55"/>
        <v>3424.2250667336</v>
      </c>
      <c r="Y98" s="4">
        <f t="shared" si="56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7"/>
        <v>22050</v>
      </c>
      <c r="AE98" s="4">
        <f t="shared" si="58"/>
        <v>662</v>
      </c>
      <c r="AF98" s="4">
        <f t="shared" si="59"/>
        <v>430</v>
      </c>
      <c r="AG98" s="4">
        <v>0.65</v>
      </c>
      <c r="AH98" s="4">
        <f t="shared" si="64"/>
        <v>430</v>
      </c>
    </row>
    <row r="99" spans="1:34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 t="shared" si="60"/>
        <v>22.5</v>
      </c>
      <c r="P99" s="7">
        <f t="shared" si="61"/>
        <v>7.5</v>
      </c>
      <c r="Q99" s="7">
        <f t="shared" si="62"/>
        <v>7.5</v>
      </c>
      <c r="R99" s="7">
        <f t="shared" si="63"/>
        <v>7.5</v>
      </c>
      <c r="S99" s="7">
        <v>0</v>
      </c>
      <c r="T99" s="7">
        <v>0</v>
      </c>
      <c r="U99" s="7">
        <f t="shared" si="53"/>
        <v>27</v>
      </c>
      <c r="V99" s="4">
        <v>1.2</v>
      </c>
      <c r="W99" s="7">
        <f t="shared" si="54"/>
        <v>45</v>
      </c>
      <c r="X99" s="4">
        <f t="shared" si="55"/>
        <v>4040.86217878537</v>
      </c>
      <c r="Y99" s="4">
        <f t="shared" si="56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7"/>
        <v>23625</v>
      </c>
      <c r="AE99" s="4">
        <f t="shared" si="58"/>
        <v>1418</v>
      </c>
      <c r="AF99" s="4">
        <f t="shared" si="59"/>
        <v>992</v>
      </c>
      <c r="AG99" s="4">
        <v>0.7</v>
      </c>
      <c r="AH99" s="4">
        <f t="shared" si="64"/>
        <v>992</v>
      </c>
    </row>
    <row r="100" spans="1:34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 t="shared" si="60"/>
        <v>23.5</v>
      </c>
      <c r="P100" s="7">
        <f t="shared" si="61"/>
        <v>7.83333333333333</v>
      </c>
      <c r="Q100" s="7">
        <f t="shared" si="62"/>
        <v>7.83333333333333</v>
      </c>
      <c r="R100" s="7">
        <f t="shared" si="63"/>
        <v>7.83333333333333</v>
      </c>
      <c r="S100" s="7">
        <v>0</v>
      </c>
      <c r="T100" s="7">
        <v>0</v>
      </c>
      <c r="U100" s="7">
        <f t="shared" si="53"/>
        <v>28.2</v>
      </c>
      <c r="V100" s="4">
        <v>1.2</v>
      </c>
      <c r="W100" s="7">
        <f t="shared" si="54"/>
        <v>47</v>
      </c>
      <c r="X100" s="4">
        <f t="shared" si="55"/>
        <v>4485.37609620097</v>
      </c>
      <c r="Y100" s="4">
        <f t="shared" si="56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7"/>
        <v>24675</v>
      </c>
      <c r="AE100" s="4">
        <f t="shared" si="58"/>
        <v>1481</v>
      </c>
      <c r="AF100" s="4">
        <f t="shared" si="59"/>
        <v>1036</v>
      </c>
      <c r="AG100" s="4">
        <v>0.7</v>
      </c>
      <c r="AH100" s="4">
        <f t="shared" si="64"/>
        <v>1036</v>
      </c>
    </row>
    <row r="101" spans="1:34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si="60"/>
        <v>25</v>
      </c>
      <c r="P101" s="7">
        <f t="shared" si="61"/>
        <v>8.33333333333333</v>
      </c>
      <c r="Q101" s="7">
        <f t="shared" si="62"/>
        <v>8.33333333333333</v>
      </c>
      <c r="R101" s="7">
        <f t="shared" si="63"/>
        <v>8.33333333333333</v>
      </c>
      <c r="S101" s="7">
        <v>0</v>
      </c>
      <c r="T101" s="7">
        <v>0</v>
      </c>
      <c r="U101" s="7">
        <f t="shared" si="53"/>
        <v>30</v>
      </c>
      <c r="V101" s="4">
        <v>1.2</v>
      </c>
      <c r="W101" s="7">
        <f t="shared" si="54"/>
        <v>50</v>
      </c>
      <c r="X101" s="4">
        <f t="shared" si="55"/>
        <v>5203.45754626171</v>
      </c>
      <c r="Y101" s="4">
        <f t="shared" si="56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7"/>
        <v>26250</v>
      </c>
      <c r="AE101" s="4">
        <f t="shared" si="58"/>
        <v>1575</v>
      </c>
      <c r="AF101" s="4">
        <f t="shared" si="59"/>
        <v>1181</v>
      </c>
      <c r="AG101" s="4">
        <v>0.75</v>
      </c>
      <c r="AH101" s="4">
        <f t="shared" si="64"/>
        <v>1181</v>
      </c>
    </row>
    <row r="102" spans="1:34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60"/>
        <v>26</v>
      </c>
      <c r="P102" s="7">
        <f t="shared" si="61"/>
        <v>8.66666666666667</v>
      </c>
      <c r="Q102" s="7">
        <f t="shared" si="62"/>
        <v>8.66666666666667</v>
      </c>
      <c r="R102" s="7">
        <f t="shared" si="63"/>
        <v>8.66666666666667</v>
      </c>
      <c r="S102" s="7">
        <v>0</v>
      </c>
      <c r="T102" s="7">
        <v>0</v>
      </c>
      <c r="U102" s="7">
        <f t="shared" si="53"/>
        <v>31.2</v>
      </c>
      <c r="V102" s="4">
        <v>1.2</v>
      </c>
      <c r="W102" s="7">
        <f t="shared" si="54"/>
        <v>52</v>
      </c>
      <c r="X102" s="4">
        <f t="shared" si="55"/>
        <v>5717.05051940569</v>
      </c>
      <c r="Y102" s="4">
        <f t="shared" si="56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7"/>
        <v>27300</v>
      </c>
      <c r="AE102" s="4">
        <f t="shared" si="58"/>
        <v>1638</v>
      </c>
      <c r="AF102" s="4">
        <f t="shared" si="59"/>
        <v>1229</v>
      </c>
      <c r="AG102" s="4">
        <v>0.75</v>
      </c>
      <c r="AH102" s="4">
        <f t="shared" si="64"/>
        <v>1229</v>
      </c>
    </row>
    <row r="103" spans="1:34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60"/>
        <v>27.5</v>
      </c>
      <c r="P103" s="7">
        <f t="shared" si="61"/>
        <v>9.16666666666667</v>
      </c>
      <c r="Q103" s="7">
        <f t="shared" si="62"/>
        <v>9.16666666666667</v>
      </c>
      <c r="R103" s="7">
        <f t="shared" si="63"/>
        <v>9.16666666666667</v>
      </c>
      <c r="S103" s="7">
        <v>0</v>
      </c>
      <c r="T103" s="7">
        <v>0</v>
      </c>
      <c r="U103" s="7">
        <f t="shared" si="53"/>
        <v>33</v>
      </c>
      <c r="V103" s="4">
        <v>1.3</v>
      </c>
      <c r="W103" s="7">
        <f t="shared" si="54"/>
        <v>55</v>
      </c>
      <c r="X103" s="4">
        <f t="shared" si="55"/>
        <v>13602.038454825</v>
      </c>
      <c r="Y103" s="4">
        <f t="shared" si="56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7"/>
        <v>28875</v>
      </c>
      <c r="AE103" s="4">
        <f t="shared" si="58"/>
        <v>938</v>
      </c>
      <c r="AF103" s="4">
        <f t="shared" si="59"/>
        <v>751</v>
      </c>
      <c r="AG103" s="4">
        <v>0.8</v>
      </c>
      <c r="AH103" s="4">
        <f t="shared" si="64"/>
        <v>751</v>
      </c>
    </row>
    <row r="104" spans="1:34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4</v>
      </c>
      <c r="O104" s="4">
        <f t="shared" si="60"/>
        <v>28.5</v>
      </c>
      <c r="P104" s="7">
        <f t="shared" si="61"/>
        <v>9.5</v>
      </c>
      <c r="Q104" s="7">
        <f t="shared" si="62"/>
        <v>9.5</v>
      </c>
      <c r="R104" s="7">
        <f t="shared" si="63"/>
        <v>9.5</v>
      </c>
      <c r="S104" s="7">
        <v>0</v>
      </c>
      <c r="T104" s="7">
        <v>0</v>
      </c>
      <c r="U104" s="7">
        <f t="shared" si="53"/>
        <v>34.2</v>
      </c>
      <c r="V104" s="4">
        <v>1.3</v>
      </c>
      <c r="W104" s="7">
        <f t="shared" si="54"/>
        <v>57</v>
      </c>
      <c r="X104" s="4">
        <f t="shared" si="55"/>
        <v>14925.7316918978</v>
      </c>
      <c r="Y104" s="4">
        <f t="shared" si="56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7"/>
        <v>29925</v>
      </c>
      <c r="AE104" s="4">
        <f t="shared" si="58"/>
        <v>1945</v>
      </c>
      <c r="AF104" s="4">
        <f t="shared" si="59"/>
        <v>1556</v>
      </c>
      <c r="AG104" s="4">
        <v>0.8</v>
      </c>
      <c r="AH104" s="4">
        <f t="shared" si="64"/>
        <v>1556</v>
      </c>
    </row>
    <row r="105" spans="1:34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4</v>
      </c>
      <c r="O105" s="4">
        <f t="shared" si="60"/>
        <v>30</v>
      </c>
      <c r="P105" s="7">
        <f t="shared" si="61"/>
        <v>10</v>
      </c>
      <c r="Q105" s="7">
        <f t="shared" si="62"/>
        <v>10</v>
      </c>
      <c r="R105" s="7">
        <f t="shared" si="63"/>
        <v>10</v>
      </c>
      <c r="S105" s="7">
        <v>0</v>
      </c>
      <c r="T105" s="7">
        <v>0</v>
      </c>
      <c r="U105" s="7">
        <f t="shared" si="53"/>
        <v>36</v>
      </c>
      <c r="V105" s="4">
        <v>1.3</v>
      </c>
      <c r="W105" s="7">
        <f t="shared" si="54"/>
        <v>60</v>
      </c>
      <c r="X105" s="4">
        <f t="shared" si="55"/>
        <v>17055.0994684063</v>
      </c>
      <c r="Y105" s="4">
        <f t="shared" si="56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7"/>
        <v>31500</v>
      </c>
      <c r="AE105" s="4">
        <f t="shared" si="58"/>
        <v>2048</v>
      </c>
      <c r="AF105" s="4">
        <f t="shared" si="59"/>
        <v>1740</v>
      </c>
      <c r="AG105" s="4">
        <v>0.85</v>
      </c>
      <c r="AH105" s="4">
        <f t="shared" si="64"/>
        <v>1740</v>
      </c>
    </row>
    <row r="106" spans="1:34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4</v>
      </c>
      <c r="O106" s="4">
        <f t="shared" si="60"/>
        <v>31</v>
      </c>
      <c r="P106" s="7">
        <f t="shared" si="61"/>
        <v>10.3333333333333</v>
      </c>
      <c r="Q106" s="7">
        <f t="shared" si="62"/>
        <v>10.3333333333333</v>
      </c>
      <c r="R106" s="7">
        <f t="shared" si="63"/>
        <v>10.3333333333333</v>
      </c>
      <c r="S106" s="7">
        <v>0</v>
      </c>
      <c r="T106" s="7">
        <v>0</v>
      </c>
      <c r="U106" s="7">
        <f t="shared" si="53"/>
        <v>37.2</v>
      </c>
      <c r="V106" s="4">
        <v>1.3</v>
      </c>
      <c r="W106" s="7">
        <f t="shared" si="54"/>
        <v>62</v>
      </c>
      <c r="X106" s="4">
        <f t="shared" si="55"/>
        <v>18572.8862259016</v>
      </c>
      <c r="Y106" s="4">
        <f t="shared" si="56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7"/>
        <v>32550</v>
      </c>
      <c r="AE106" s="4">
        <f t="shared" si="58"/>
        <v>2116</v>
      </c>
      <c r="AF106" s="4">
        <f t="shared" si="59"/>
        <v>1798</v>
      </c>
      <c r="AG106" s="4">
        <v>0.85</v>
      </c>
      <c r="AH106" s="4">
        <f t="shared" si="64"/>
        <v>1798</v>
      </c>
    </row>
    <row r="107" spans="1:34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4</v>
      </c>
      <c r="O107" s="4">
        <f t="shared" si="60"/>
        <v>32.5</v>
      </c>
      <c r="P107" s="7">
        <f t="shared" si="61"/>
        <v>10.8333333333333</v>
      </c>
      <c r="Q107" s="7">
        <f t="shared" si="62"/>
        <v>10.8333333333333</v>
      </c>
      <c r="R107" s="7">
        <f t="shared" si="63"/>
        <v>10.8333333333333</v>
      </c>
      <c r="S107" s="7">
        <v>0</v>
      </c>
      <c r="T107" s="7">
        <v>0</v>
      </c>
      <c r="U107" s="7">
        <f t="shared" si="53"/>
        <v>39</v>
      </c>
      <c r="V107" s="4">
        <v>1.3</v>
      </c>
      <c r="W107" s="7">
        <f t="shared" si="54"/>
        <v>65</v>
      </c>
      <c r="X107" s="4">
        <f t="shared" si="55"/>
        <v>21000.7948712415</v>
      </c>
      <c r="Y107" s="4">
        <f t="shared" si="56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7"/>
        <v>34125</v>
      </c>
      <c r="AE107" s="4">
        <f t="shared" si="58"/>
        <v>2218</v>
      </c>
      <c r="AF107" s="4">
        <f t="shared" si="59"/>
        <v>1996</v>
      </c>
      <c r="AG107" s="4">
        <v>0.9</v>
      </c>
      <c r="AH107" s="4">
        <f t="shared" si="64"/>
        <v>1996</v>
      </c>
    </row>
    <row r="108" spans="1:34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4</v>
      </c>
      <c r="O108" s="4">
        <f t="shared" si="60"/>
        <v>33.5</v>
      </c>
      <c r="P108" s="7">
        <f t="shared" si="61"/>
        <v>11.1666666666667</v>
      </c>
      <c r="Q108" s="7">
        <f t="shared" si="62"/>
        <v>11.1666666666667</v>
      </c>
      <c r="R108" s="7">
        <f t="shared" si="63"/>
        <v>11.1666666666667</v>
      </c>
      <c r="S108" s="7">
        <v>0</v>
      </c>
      <c r="T108" s="7">
        <v>0</v>
      </c>
      <c r="U108" s="7">
        <f t="shared" si="53"/>
        <v>40.2</v>
      </c>
      <c r="V108" s="4">
        <v>1.4</v>
      </c>
      <c r="W108" s="7">
        <f t="shared" si="54"/>
        <v>67</v>
      </c>
      <c r="X108" s="4">
        <f t="shared" si="55"/>
        <v>49154.972065701</v>
      </c>
      <c r="Y108" s="4">
        <f t="shared" si="56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7"/>
        <v>35175</v>
      </c>
      <c r="AE108" s="4">
        <f t="shared" si="58"/>
        <v>1231</v>
      </c>
      <c r="AF108" s="4">
        <f t="shared" si="59"/>
        <v>1231</v>
      </c>
      <c r="AG108" s="4">
        <v>1</v>
      </c>
      <c r="AH108" s="4">
        <f t="shared" si="64"/>
        <v>1231</v>
      </c>
    </row>
    <row r="109" spans="15:16">
      <c r="O109" s="4"/>
      <c r="P109" s="4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11"/>
  <sheetViews>
    <sheetView workbookViewId="0">
      <selection activeCell="P6" sqref="P6:Q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0" width="12.8888888888889"/>
    <col min="21" max="21" width="14.0277777777778" customWidth="1"/>
    <col min="24" max="24" width="12.8888888888889"/>
    <col min="29" max="29" width="8.88888888888889" style="7"/>
    <col min="30" max="30" width="12.8888888888889"/>
    <col min="35" max="35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1501</v>
      </c>
      <c r="Y1" s="7">
        <v>3</v>
      </c>
      <c r="Z1" s="4">
        <v>1502</v>
      </c>
      <c r="AA1" s="7">
        <v>1503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21" si="0">ROUNDDOWN((B2-M2)/$X$6,0)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1501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>
        <v>0</v>
      </c>
      <c r="N2" s="7">
        <f>IF(A2&lt;5,$X$1,IF(A2&gt;10,$AA$1,$Z$1))</f>
        <v>1501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21" si="7">SUM(J2,L2)+15</f>
        <v>25</v>
      </c>
      <c r="V2" s="7">
        <v>2</v>
      </c>
      <c r="W2" s="4" t="s">
        <v>577</v>
      </c>
      <c r="X2" s="8">
        <v>1505</v>
      </c>
      <c r="Y2" s="4">
        <v>5</v>
      </c>
      <c r="AA2" s="7"/>
      <c r="AB2" s="4">
        <v>70</v>
      </c>
      <c r="AC2" s="7">
        <v>50</v>
      </c>
    </row>
    <row r="3" spans="1:27">
      <c r="A3" s="7">
        <v>2</v>
      </c>
      <c r="B3" s="7">
        <f>B2+$AB$2</f>
        <v>170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1501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>
        <v>0</v>
      </c>
      <c r="N3" s="7">
        <f>IF(A3&lt;5,$X$1,IF(A3&gt;10,$AA$1,$Z$1))</f>
        <v>1501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1506</v>
      </c>
      <c r="Y3" s="7">
        <v>10</v>
      </c>
      <c r="AA3" s="7"/>
    </row>
    <row r="4" spans="1:27">
      <c r="A4" s="7">
        <v>3</v>
      </c>
      <c r="B4" s="7">
        <f>B3+$AB$2</f>
        <v>240</v>
      </c>
      <c r="C4" s="7">
        <f t="shared" si="0"/>
        <v>6</v>
      </c>
      <c r="D4" s="7">
        <v>1</v>
      </c>
      <c r="E4" s="7">
        <f t="shared" si="1"/>
        <v>1.5</v>
      </c>
      <c r="F4" s="7">
        <f t="shared" si="2"/>
        <v>5</v>
      </c>
      <c r="G4" s="7">
        <f t="shared" si="3"/>
        <v>3.75</v>
      </c>
      <c r="H4" s="7">
        <v>1</v>
      </c>
      <c r="I4" s="7">
        <f>IF(A4&lt;5,$X$1,IF(A4&gt;10,$AA$1,$Z$1))</f>
        <v>1501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>
        <v>0</v>
      </c>
      <c r="N4" s="7">
        <f>IF(A4&lt;5,$X$1,IF(A4&gt;10,$AA$1,$Z$1))</f>
        <v>1501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f>B4+$AB$2</f>
        <v>310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>IF(A5&lt;5,$X$1,IF(A5&gt;10,$AA$1,$Z$1))</f>
        <v>1501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>
        <v>0</v>
      </c>
      <c r="N5" s="7">
        <f>IF(A5&lt;5,$X$1,IF(A5&gt;10,$AA$1,$Z$1))</f>
        <v>1501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</f>
        <v>380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>IF(A6&lt;5,$X$1,IF(A6&gt;10,$AA$1,$Z$1))</f>
        <v>1502</v>
      </c>
      <c r="J6" s="7">
        <v>5</v>
      </c>
      <c r="K6" s="7">
        <f>IF(H6=1,"",INDEX($X$1:$X$3,MATCH(H6,$V$1:$V$3,0)))</f>
        <v>1505</v>
      </c>
      <c r="L6" s="7">
        <f t="shared" si="4"/>
        <v>5</v>
      </c>
      <c r="M6" s="7">
        <v>0</v>
      </c>
      <c r="N6" s="7">
        <f>IF(A6&lt;5,$X$1,IF(A6&gt;10,$AA$1,$Z$1))</f>
        <v>1502</v>
      </c>
      <c r="O6" s="7">
        <v>5</v>
      </c>
      <c r="P6" s="7">
        <f>IF(H6=1,"",INDEX($X$1:$X$3,MATCH(H6,$V$1:$V$3,0)))</f>
        <v>1505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f>B6+$AB$2</f>
        <v>450</v>
      </c>
      <c r="C7" s="7">
        <f t="shared" si="0"/>
        <v>11</v>
      </c>
      <c r="D7" s="7">
        <v>2</v>
      </c>
      <c r="E7" s="7">
        <f t="shared" si="1"/>
        <v>2.25</v>
      </c>
      <c r="F7" s="7">
        <f t="shared" si="2"/>
        <v>9</v>
      </c>
      <c r="G7" s="7">
        <f t="shared" si="3"/>
        <v>10.125</v>
      </c>
      <c r="H7" s="7">
        <v>1</v>
      </c>
      <c r="I7" s="7">
        <f>IF(A7&lt;5,$X$1,IF(A7&gt;10,$AA$1,$Z$1))</f>
        <v>1502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>
        <v>0</v>
      </c>
      <c r="N7" s="7">
        <f>IF(A7&lt;5,$X$1,IF(A7&gt;10,$AA$1,$Z$1))</f>
        <v>1502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f>B7+$AB$2</f>
        <v>520</v>
      </c>
      <c r="C8" s="7">
        <f t="shared" si="0"/>
        <v>13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1502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>
        <v>0</v>
      </c>
      <c r="N8" s="7">
        <f>IF(A8&lt;5,$X$1,IF(A8&gt;10,$AA$1,$Z$1))</f>
        <v>1502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f>B8+$AB$2</f>
        <v>590</v>
      </c>
      <c r="C9" s="7">
        <f t="shared" si="0"/>
        <v>14</v>
      </c>
      <c r="D9" s="7">
        <v>3</v>
      </c>
      <c r="E9" s="7">
        <f t="shared" si="1"/>
        <v>3</v>
      </c>
      <c r="F9" s="7">
        <f t="shared" si="2"/>
        <v>11</v>
      </c>
      <c r="G9" s="7">
        <f t="shared" si="3"/>
        <v>16.5</v>
      </c>
      <c r="H9" s="7">
        <v>1</v>
      </c>
      <c r="I9" s="7">
        <f>IF(A9&lt;5,$X$1,IF(A9&gt;10,$AA$1,$Z$1))</f>
        <v>1502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>
        <v>0</v>
      </c>
      <c r="N9" s="7">
        <f>IF(A9&lt;5,$X$1,IF(A9&gt;10,$AA$1,$Z$1))</f>
        <v>1502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f>B9+$AB$2</f>
        <v>660</v>
      </c>
      <c r="C10" s="7">
        <f t="shared" si="0"/>
        <v>16</v>
      </c>
      <c r="D10" s="7">
        <v>4</v>
      </c>
      <c r="E10" s="7">
        <f t="shared" si="1"/>
        <v>3.75</v>
      </c>
      <c r="F10" s="7">
        <f t="shared" si="2"/>
        <v>13</v>
      </c>
      <c r="G10" s="7">
        <f t="shared" si="3"/>
        <v>24.375</v>
      </c>
      <c r="H10" s="7">
        <v>1</v>
      </c>
      <c r="I10" s="7">
        <f>IF(A10&lt;5,$X$1,IF(A10&gt;10,$AA$1,$Z$1))</f>
        <v>1502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>
        <v>0</v>
      </c>
      <c r="N10" s="7">
        <f>IF(A10&lt;5,$X$1,IF(A10&gt;10,$AA$1,$Z$1))</f>
        <v>1502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f>B10+$AB$2+30</f>
        <v>760</v>
      </c>
      <c r="C11" s="7">
        <f t="shared" si="0"/>
        <v>19</v>
      </c>
      <c r="D11" s="7">
        <v>6</v>
      </c>
      <c r="E11" s="7">
        <f t="shared" si="1"/>
        <v>5</v>
      </c>
      <c r="F11" s="7">
        <f t="shared" si="2"/>
        <v>15</v>
      </c>
      <c r="G11" s="7">
        <f t="shared" si="3"/>
        <v>37.5</v>
      </c>
      <c r="H11" s="7">
        <v>3</v>
      </c>
      <c r="I11" s="7">
        <f>IF(A11&lt;5,$X$1,IF(A11&gt;10,$AA$1,$Z$1))</f>
        <v>1502</v>
      </c>
      <c r="J11" s="7">
        <v>10</v>
      </c>
      <c r="K11" s="7">
        <f>IF(H11=1,"",INDEX($X$1:$X$3,MATCH(H11,$V$1:$V$3,0)))</f>
        <v>1506</v>
      </c>
      <c r="L11" s="7">
        <f t="shared" si="4"/>
        <v>1</v>
      </c>
      <c r="M11" s="7">
        <v>0</v>
      </c>
      <c r="N11" s="7">
        <f>IF(A11&lt;5,$X$1,IF(A11&gt;10,$AA$1,$Z$1))</f>
        <v>1502</v>
      </c>
      <c r="O11" s="7">
        <v>10</v>
      </c>
      <c r="P11" s="7">
        <f>IF(H11=1,"",INDEX($X$1:$X$3,MATCH(H11,$V$1:$V$3,0)))</f>
        <v>1506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f t="shared" ref="B12:B31" si="10">B11+$AB$2+30</f>
        <v>860</v>
      </c>
      <c r="C12" s="7">
        <f t="shared" si="0"/>
        <v>21</v>
      </c>
      <c r="D12" s="7">
        <v>5</v>
      </c>
      <c r="E12" s="7"/>
      <c r="F12" s="7">
        <f t="shared" si="2"/>
        <v>17</v>
      </c>
      <c r="G12" s="7">
        <f t="shared" ref="G12:G14" si="11">($G$15-$G$11)/4+G11</f>
        <v>44.325</v>
      </c>
      <c r="H12" s="7">
        <v>1</v>
      </c>
      <c r="I12" s="7">
        <f>IF(A12&lt;5,$X$1,IF(A12&gt;10,$AA$1,$Z$1))</f>
        <v>1503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>
        <v>0</v>
      </c>
      <c r="N12" s="7">
        <f>IF(A12&lt;5,$X$1,IF(A12&gt;10,$AA$1,$Z$1))</f>
        <v>1503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 t="shared" si="10"/>
        <v>960</v>
      </c>
      <c r="C13" s="7">
        <f t="shared" si="0"/>
        <v>24</v>
      </c>
      <c r="D13" s="7">
        <v>8</v>
      </c>
      <c r="E13" s="7"/>
      <c r="F13" s="7">
        <f t="shared" si="2"/>
        <v>19</v>
      </c>
      <c r="G13" s="7">
        <f t="shared" si="11"/>
        <v>51.15</v>
      </c>
      <c r="H13" s="7">
        <v>1</v>
      </c>
      <c r="I13" s="7">
        <f>IF(A13&lt;5,$X$1,IF(A13&gt;10,$AA$1,$Z$1))</f>
        <v>1503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>
        <v>0</v>
      </c>
      <c r="N13" s="7">
        <f>IF(A13&lt;5,$X$1,IF(A13&gt;10,$AA$1,$Z$1))</f>
        <v>1503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 t="shared" si="10"/>
        <v>1060</v>
      </c>
      <c r="C14" s="7">
        <f t="shared" si="0"/>
        <v>26</v>
      </c>
      <c r="D14" s="7">
        <v>9</v>
      </c>
      <c r="E14" s="7"/>
      <c r="F14" s="7">
        <f t="shared" si="2"/>
        <v>21</v>
      </c>
      <c r="G14" s="7">
        <f t="shared" si="11"/>
        <v>57.975</v>
      </c>
      <c r="H14" s="7">
        <v>1</v>
      </c>
      <c r="I14" s="7">
        <f>IF(A14&lt;5,$X$1,IF(A14&gt;10,$AA$1,$Z$1))</f>
        <v>1503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>
        <v>0</v>
      </c>
      <c r="N14" s="7">
        <f>IF(A14&lt;5,$X$1,IF(A14&gt;10,$AA$1,$Z$1))</f>
        <v>1503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f t="shared" si="10"/>
        <v>1160</v>
      </c>
      <c r="C15" s="7">
        <f t="shared" si="0"/>
        <v>29</v>
      </c>
      <c r="D15" s="7">
        <v>10</v>
      </c>
      <c r="E15" s="7"/>
      <c r="F15" s="7">
        <f t="shared" si="2"/>
        <v>23</v>
      </c>
      <c r="G15" s="7">
        <f>G31*0.2</f>
        <v>64.8</v>
      </c>
      <c r="H15" s="7">
        <v>1</v>
      </c>
      <c r="I15" s="7">
        <f>IF(A15&lt;5,$X$1,IF(A15&gt;10,$AA$1,$Z$1))</f>
        <v>1503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>
        <v>0</v>
      </c>
      <c r="N15" s="7">
        <f>IF(A15&lt;5,$X$1,IF(A15&gt;10,$AA$1,$Z$1))</f>
        <v>1503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f t="shared" si="10"/>
        <v>1260</v>
      </c>
      <c r="C16" s="7">
        <f t="shared" si="0"/>
        <v>31</v>
      </c>
      <c r="D16" s="7">
        <v>11</v>
      </c>
      <c r="E16" s="7"/>
      <c r="F16" s="7">
        <f t="shared" si="2"/>
        <v>25</v>
      </c>
      <c r="G16" s="7">
        <f t="shared" ref="G16:G19" si="12">($G$20-$G$15)/5+G15</f>
        <v>77.76</v>
      </c>
      <c r="H16" s="7">
        <v>2</v>
      </c>
      <c r="I16" s="7">
        <f>IF(A16&lt;5,$X$1,IF(A16&gt;10,$AA$1,$Z$1))</f>
        <v>1503</v>
      </c>
      <c r="J16" s="7">
        <v>10</v>
      </c>
      <c r="K16" s="7">
        <f>IF(H16=1,"",INDEX($X$1:$X$3,MATCH(H16,$V$1:$V$3,0)))</f>
        <v>1505</v>
      </c>
      <c r="L16" s="7">
        <f t="shared" si="4"/>
        <v>5</v>
      </c>
      <c r="M16" s="7">
        <v>0</v>
      </c>
      <c r="N16" s="7">
        <f>IF(A16&lt;5,$X$1,IF(A16&gt;10,$AA$1,$Z$1))</f>
        <v>1503</v>
      </c>
      <c r="O16" s="7">
        <v>10</v>
      </c>
      <c r="P16" s="7">
        <f>IF(H16=1,"",INDEX($X$1:$X$3,MATCH(H16,$V$1:$V$3,0)))</f>
        <v>1505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f t="shared" si="10"/>
        <v>1360</v>
      </c>
      <c r="C17" s="7">
        <f t="shared" si="0"/>
        <v>34</v>
      </c>
      <c r="D17" s="7">
        <v>12</v>
      </c>
      <c r="E17" s="7"/>
      <c r="F17" s="7">
        <f t="shared" si="2"/>
        <v>27</v>
      </c>
      <c r="G17" s="7">
        <f t="shared" si="12"/>
        <v>90.72</v>
      </c>
      <c r="H17" s="7">
        <v>1</v>
      </c>
      <c r="I17" s="7">
        <f>IF(A17&lt;5,$X$1,IF(A17&gt;10,$AA$1,$Z$1))</f>
        <v>1503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>
        <v>0</v>
      </c>
      <c r="N17" s="7">
        <f>IF(A17&lt;5,$X$1,IF(A17&gt;10,$AA$1,$Z$1))</f>
        <v>1503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f t="shared" si="10"/>
        <v>1460</v>
      </c>
      <c r="C18" s="7">
        <f t="shared" si="0"/>
        <v>36</v>
      </c>
      <c r="D18" s="7">
        <v>13</v>
      </c>
      <c r="E18" s="7"/>
      <c r="F18" s="7">
        <f t="shared" si="2"/>
        <v>29</v>
      </c>
      <c r="G18" s="7">
        <f t="shared" si="12"/>
        <v>103.68</v>
      </c>
      <c r="H18" s="7">
        <v>1</v>
      </c>
      <c r="I18" s="7">
        <f>IF(A18&lt;5,$X$1,IF(A18&gt;10,$AA$1,$Z$1))</f>
        <v>1503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>
        <v>0</v>
      </c>
      <c r="N18" s="7">
        <f>IF(A18&lt;5,$X$1,IF(A18&gt;10,$AA$1,$Z$1))</f>
        <v>1503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f t="shared" si="10"/>
        <v>1560</v>
      </c>
      <c r="C19" s="7">
        <f t="shared" si="0"/>
        <v>39</v>
      </c>
      <c r="D19" s="7">
        <v>14</v>
      </c>
      <c r="E19" s="7"/>
      <c r="F19" s="7">
        <f t="shared" si="2"/>
        <v>31</v>
      </c>
      <c r="G19" s="7">
        <f t="shared" si="12"/>
        <v>116.64</v>
      </c>
      <c r="H19" s="7">
        <v>1</v>
      </c>
      <c r="I19" s="7">
        <f>IF(A19&lt;5,$X$1,IF(A19&gt;10,$AA$1,$Z$1))</f>
        <v>1503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>
        <v>0</v>
      </c>
      <c r="N19" s="7">
        <f>IF(A19&lt;5,$X$1,IF(A19&gt;10,$AA$1,$Z$1))</f>
        <v>1503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f t="shared" si="10"/>
        <v>1660</v>
      </c>
      <c r="C20" s="7">
        <f t="shared" si="0"/>
        <v>41</v>
      </c>
      <c r="D20" s="7">
        <v>15</v>
      </c>
      <c r="E20" s="7"/>
      <c r="F20" s="7">
        <f t="shared" si="2"/>
        <v>33</v>
      </c>
      <c r="G20" s="7">
        <f>G31*0.4</f>
        <v>129.6</v>
      </c>
      <c r="H20" s="7">
        <v>1</v>
      </c>
      <c r="I20" s="7">
        <f>IF(A20&lt;5,$X$1,IF(A20&gt;10,$AA$1,$Z$1))</f>
        <v>1503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>
        <v>0</v>
      </c>
      <c r="N20" s="7">
        <f>IF(A20&lt;5,$X$1,IF(A20&gt;10,$AA$1,$Z$1))</f>
        <v>1503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f t="shared" si="10"/>
        <v>1760</v>
      </c>
      <c r="C21" s="7">
        <f t="shared" si="0"/>
        <v>44</v>
      </c>
      <c r="D21" s="7">
        <v>16</v>
      </c>
      <c r="E21" s="7"/>
      <c r="F21" s="7">
        <f t="shared" si="2"/>
        <v>35</v>
      </c>
      <c r="G21" s="7">
        <f t="shared" ref="G21:G24" si="13">($G$25-$G$20)/5+G20</f>
        <v>142.56</v>
      </c>
      <c r="H21" s="7">
        <v>3</v>
      </c>
      <c r="I21" s="7">
        <f>IF(A21&lt;5,$X$1,IF(A21&gt;10,$AA$1,$Z$1))</f>
        <v>1503</v>
      </c>
      <c r="J21" s="7">
        <v>15</v>
      </c>
      <c r="K21" s="7">
        <f>IF(H21=1,"",INDEX($X$1:$X$3,MATCH(H21,$V$1:$V$3,0)))</f>
        <v>1506</v>
      </c>
      <c r="L21" s="7">
        <f t="shared" si="4"/>
        <v>1</v>
      </c>
      <c r="M21" s="7">
        <v>0</v>
      </c>
      <c r="N21" s="7">
        <f>IF(A21&lt;5,$X$1,IF(A21&gt;10,$AA$1,$Z$1))</f>
        <v>1503</v>
      </c>
      <c r="O21" s="7">
        <v>15</v>
      </c>
      <c r="P21" s="7">
        <f>IF(H21=1,"",INDEX($X$1:$X$3,MATCH(H21,$V$1:$V$3,0)))</f>
        <v>1506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>
        <f t="shared" si="10"/>
        <v>1860</v>
      </c>
      <c r="C22" s="7">
        <f t="shared" ref="C22:C33" si="14">ROUNDDOWN(B22/$X$6,0)</f>
        <v>46</v>
      </c>
      <c r="D22" s="7">
        <v>17</v>
      </c>
      <c r="E22" s="7"/>
      <c r="F22" s="7">
        <f t="shared" si="2"/>
        <v>37</v>
      </c>
      <c r="G22" s="7">
        <f t="shared" si="13"/>
        <v>155.52</v>
      </c>
      <c r="H22" s="7">
        <v>1</v>
      </c>
      <c r="I22" s="7">
        <f>IF(A22&lt;5,$X$1,IF(A22&gt;10,$AA$1,$Z$1))</f>
        <v>1503</v>
      </c>
      <c r="J22" s="7">
        <v>20</v>
      </c>
      <c r="K22" s="7" t="str">
        <f>IF(H22=1,"",INDEX($X$1:$X$3,MATCH(H22,$V$1:$V$3,0)))</f>
        <v/>
      </c>
      <c r="L22" s="7" t="str">
        <f t="shared" si="4"/>
        <v/>
      </c>
      <c r="M22" s="7">
        <v>0</v>
      </c>
      <c r="N22" s="7">
        <f>IF(A22&lt;5,$X$1,IF(A22&gt;10,$AA$1,$Z$1))</f>
        <v>1503</v>
      </c>
      <c r="O22" s="7">
        <v>20</v>
      </c>
      <c r="P22" s="7" t="str">
        <f>IF(H22=1,"",INDEX($X$1:$X$3,MATCH(H22,$V$1:$V$3,0)))</f>
        <v/>
      </c>
      <c r="Q22" s="7" t="str">
        <f t="shared" si="5"/>
        <v/>
      </c>
      <c r="R22" s="7"/>
      <c r="S22" s="7">
        <f t="shared" si="6"/>
        <v>40</v>
      </c>
      <c r="T22" s="7"/>
      <c r="U22" s="7"/>
      <c r="V22" s="7"/>
      <c r="Y22" s="4"/>
      <c r="AA22" s="7"/>
    </row>
    <row r="23" spans="1:27">
      <c r="A23" s="7">
        <v>22</v>
      </c>
      <c r="B23" s="7">
        <f t="shared" si="10"/>
        <v>1960</v>
      </c>
      <c r="C23" s="7">
        <f t="shared" si="14"/>
        <v>49</v>
      </c>
      <c r="D23" s="7">
        <v>20</v>
      </c>
      <c r="E23" s="7"/>
      <c r="F23" s="7">
        <f t="shared" si="2"/>
        <v>39</v>
      </c>
      <c r="G23" s="7">
        <f t="shared" si="13"/>
        <v>168.48</v>
      </c>
      <c r="H23" s="7">
        <v>1</v>
      </c>
      <c r="I23" s="7">
        <f>IF(A23&lt;5,$X$1,IF(A23&gt;10,$AA$1,$Z$1))</f>
        <v>1503</v>
      </c>
      <c r="J23" s="7">
        <v>20</v>
      </c>
      <c r="K23" s="7" t="str">
        <f>IF(H23=1,"",INDEX($X$1:$X$3,MATCH(H23,$V$1:$V$3,0)))</f>
        <v/>
      </c>
      <c r="L23" s="7" t="str">
        <f t="shared" si="4"/>
        <v/>
      </c>
      <c r="M23" s="7">
        <v>0</v>
      </c>
      <c r="N23" s="7">
        <f>IF(A23&lt;5,$X$1,IF(A23&gt;10,$AA$1,$Z$1))</f>
        <v>1503</v>
      </c>
      <c r="O23" s="7">
        <v>20</v>
      </c>
      <c r="P23" s="7" t="str">
        <f>IF(H23=1,"",INDEX($X$1:$X$3,MATCH(H23,$V$1:$V$3,0)))</f>
        <v/>
      </c>
      <c r="Q23" s="7" t="str">
        <f t="shared" si="5"/>
        <v/>
      </c>
      <c r="R23" s="7"/>
      <c r="S23" s="7">
        <f t="shared" si="6"/>
        <v>40</v>
      </c>
      <c r="T23" s="7"/>
      <c r="U23" s="7"/>
      <c r="V23" s="7"/>
      <c r="Y23" s="4"/>
      <c r="AA23" s="7"/>
    </row>
    <row r="24" spans="1:27">
      <c r="A24" s="7">
        <v>23</v>
      </c>
      <c r="B24" s="7">
        <f t="shared" si="10"/>
        <v>2060</v>
      </c>
      <c r="C24" s="7">
        <f t="shared" si="14"/>
        <v>51</v>
      </c>
      <c r="D24" s="7">
        <v>21</v>
      </c>
      <c r="E24" s="7"/>
      <c r="F24" s="7">
        <f t="shared" si="2"/>
        <v>41</v>
      </c>
      <c r="G24" s="7">
        <f t="shared" si="13"/>
        <v>181.44</v>
      </c>
      <c r="H24" s="7">
        <v>1</v>
      </c>
      <c r="I24" s="7">
        <f>IF(A24&lt;5,$X$1,IF(A24&gt;10,$AA$1,$Z$1))</f>
        <v>1503</v>
      </c>
      <c r="J24" s="7">
        <v>20</v>
      </c>
      <c r="K24" s="7" t="str">
        <f>IF(H24=1,"",INDEX($X$1:$X$3,MATCH(H24,$V$1:$V$3,0)))</f>
        <v/>
      </c>
      <c r="L24" s="7" t="str">
        <f t="shared" si="4"/>
        <v/>
      </c>
      <c r="M24" s="7">
        <v>0</v>
      </c>
      <c r="N24" s="7">
        <f>IF(A24&lt;5,$X$1,IF(A24&gt;10,$AA$1,$Z$1))</f>
        <v>1503</v>
      </c>
      <c r="O24" s="7">
        <v>20</v>
      </c>
      <c r="P24" s="7" t="str">
        <f>IF(H24=1,"",INDEX($X$1:$X$3,MATCH(H24,$V$1:$V$3,0)))</f>
        <v/>
      </c>
      <c r="Q24" s="7" t="str">
        <f t="shared" si="5"/>
        <v/>
      </c>
      <c r="R24" s="7"/>
      <c r="S24" s="7">
        <f t="shared" si="6"/>
        <v>40</v>
      </c>
      <c r="T24" s="7"/>
      <c r="U24" s="7"/>
      <c r="V24" s="7"/>
      <c r="Y24" s="4"/>
      <c r="AA24" s="7"/>
    </row>
    <row r="25" spans="1:27">
      <c r="A25" s="7">
        <v>24</v>
      </c>
      <c r="B25" s="7">
        <f t="shared" si="10"/>
        <v>2160</v>
      </c>
      <c r="C25" s="7">
        <f t="shared" si="14"/>
        <v>54</v>
      </c>
      <c r="D25" s="7">
        <v>22</v>
      </c>
      <c r="E25" s="7"/>
      <c r="F25" s="7">
        <f t="shared" si="2"/>
        <v>43</v>
      </c>
      <c r="G25" s="7">
        <f>G31*0.6</f>
        <v>194.4</v>
      </c>
      <c r="H25" s="7">
        <v>1</v>
      </c>
      <c r="I25" s="7">
        <f>IF(A25&lt;5,$X$1,IF(A25&gt;10,$AA$1,$Z$1))</f>
        <v>1503</v>
      </c>
      <c r="J25" s="7">
        <v>20</v>
      </c>
      <c r="K25" s="7" t="str">
        <f>IF(H25=1,"",INDEX($X$1:$X$3,MATCH(H25,$V$1:$V$3,0)))</f>
        <v/>
      </c>
      <c r="L25" s="7" t="str">
        <f t="shared" si="4"/>
        <v/>
      </c>
      <c r="M25" s="7">
        <v>0</v>
      </c>
      <c r="N25" s="7">
        <f>IF(A25&lt;5,$X$1,IF(A25&gt;10,$AA$1,$Z$1))</f>
        <v>1503</v>
      </c>
      <c r="O25" s="7">
        <v>20</v>
      </c>
      <c r="P25" s="7" t="str">
        <f>IF(H25=1,"",INDEX($X$1:$X$3,MATCH(H25,$V$1:$V$3,0)))</f>
        <v/>
      </c>
      <c r="Q25" s="7" t="str">
        <f t="shared" si="5"/>
        <v/>
      </c>
      <c r="R25" s="7"/>
      <c r="S25" s="7">
        <f t="shared" si="6"/>
        <v>40</v>
      </c>
      <c r="T25" s="7"/>
      <c r="U25" s="7"/>
      <c r="V25" s="7"/>
      <c r="Y25" s="4"/>
      <c r="AA25" s="7"/>
    </row>
    <row r="26" spans="1:27">
      <c r="A26" s="7">
        <v>25</v>
      </c>
      <c r="B26" s="7">
        <f t="shared" si="10"/>
        <v>2260</v>
      </c>
      <c r="C26" s="7">
        <f t="shared" si="14"/>
        <v>56</v>
      </c>
      <c r="D26" s="7">
        <v>23</v>
      </c>
      <c r="E26" s="7"/>
      <c r="F26" s="7">
        <f t="shared" si="2"/>
        <v>45</v>
      </c>
      <c r="G26" s="7">
        <f t="shared" ref="G26:G29" si="15">($G$30-$G$25)/5+G25</f>
        <v>210.6</v>
      </c>
      <c r="H26" s="7">
        <v>2</v>
      </c>
      <c r="I26" s="7">
        <f>IF(A26&lt;5,$X$1,IF(A26&gt;10,$AA$1,$Z$1))</f>
        <v>1503</v>
      </c>
      <c r="J26" s="7">
        <v>10</v>
      </c>
      <c r="K26" s="7">
        <f>IF(H26=1,"",INDEX($X$1:$X$3,MATCH(H26,$V$1:$V$3,0)))</f>
        <v>1505</v>
      </c>
      <c r="L26" s="7">
        <f t="shared" si="4"/>
        <v>5</v>
      </c>
      <c r="M26" s="7">
        <v>0</v>
      </c>
      <c r="N26" s="7">
        <f>IF(A26&lt;5,$X$1,IF(A26&gt;10,$AA$1,$Z$1))</f>
        <v>1503</v>
      </c>
      <c r="O26" s="7">
        <v>10</v>
      </c>
      <c r="P26" s="7">
        <f>IF(H26=1,"",INDEX($X$1:$X$3,MATCH(H26,$V$1:$V$3,0)))</f>
        <v>1505</v>
      </c>
      <c r="Q26" s="7">
        <f t="shared" si="5"/>
        <v>5</v>
      </c>
      <c r="R26" s="7"/>
      <c r="S26" s="7">
        <f t="shared" si="6"/>
        <v>30</v>
      </c>
      <c r="T26" s="7"/>
      <c r="U26" s="7"/>
      <c r="V26" s="7"/>
      <c r="Y26" s="4"/>
      <c r="AA26" s="7"/>
    </row>
    <row r="27" spans="1:27">
      <c r="A27" s="7">
        <v>26</v>
      </c>
      <c r="B27" s="7">
        <f t="shared" si="10"/>
        <v>2360</v>
      </c>
      <c r="C27" s="7">
        <f t="shared" si="14"/>
        <v>59</v>
      </c>
      <c r="D27" s="7">
        <v>24</v>
      </c>
      <c r="E27" s="7"/>
      <c r="F27" s="7">
        <f t="shared" si="2"/>
        <v>47</v>
      </c>
      <c r="G27" s="7">
        <f t="shared" si="15"/>
        <v>226.8</v>
      </c>
      <c r="H27" s="7">
        <v>1</v>
      </c>
      <c r="I27" s="7">
        <f>IF(A27&lt;5,$X$1,IF(A27&gt;10,$AA$1,$Z$1))</f>
        <v>1503</v>
      </c>
      <c r="J27" s="7">
        <v>20</v>
      </c>
      <c r="K27" s="7" t="str">
        <f>IF(H27=1,"",INDEX($X$1:$X$3,MATCH(H27,$V$1:$V$3,0)))</f>
        <v/>
      </c>
      <c r="L27" s="7" t="str">
        <f t="shared" si="4"/>
        <v/>
      </c>
      <c r="M27" s="7">
        <v>0</v>
      </c>
      <c r="N27" s="7">
        <f>IF(A27&lt;5,$X$1,IF(A27&gt;10,$AA$1,$Z$1))</f>
        <v>1503</v>
      </c>
      <c r="O27" s="7">
        <v>20</v>
      </c>
      <c r="P27" s="7" t="str">
        <f>IF(H27=1,"",INDEX($X$1:$X$3,MATCH(H27,$V$1:$V$3,0)))</f>
        <v/>
      </c>
      <c r="Q27" s="7" t="str">
        <f t="shared" si="5"/>
        <v/>
      </c>
      <c r="R27" s="7"/>
      <c r="S27" s="7">
        <f t="shared" si="6"/>
        <v>40</v>
      </c>
      <c r="T27" s="7"/>
      <c r="U27" s="7"/>
      <c r="V27" s="7"/>
      <c r="Y27" s="4"/>
      <c r="AA27" s="7"/>
    </row>
    <row r="28" spans="1:27">
      <c r="A28" s="7">
        <v>27</v>
      </c>
      <c r="B28" s="7">
        <f t="shared" si="10"/>
        <v>2460</v>
      </c>
      <c r="C28" s="7">
        <f t="shared" si="14"/>
        <v>61</v>
      </c>
      <c r="D28" s="7">
        <v>25</v>
      </c>
      <c r="E28" s="7"/>
      <c r="F28" s="7">
        <f t="shared" si="2"/>
        <v>49</v>
      </c>
      <c r="G28" s="7">
        <f t="shared" si="15"/>
        <v>243</v>
      </c>
      <c r="H28" s="7">
        <v>1</v>
      </c>
      <c r="I28" s="7">
        <f>IF(A28&lt;5,$X$1,IF(A28&gt;10,$AA$1,$Z$1))</f>
        <v>1503</v>
      </c>
      <c r="J28" s="7">
        <v>20</v>
      </c>
      <c r="K28" s="7" t="str">
        <f>IF(H28=1,"",INDEX($X$1:$X$3,MATCH(H28,$V$1:$V$3,0)))</f>
        <v/>
      </c>
      <c r="L28" s="7" t="str">
        <f t="shared" si="4"/>
        <v/>
      </c>
      <c r="M28" s="7">
        <v>0</v>
      </c>
      <c r="N28" s="7">
        <f>IF(A28&lt;5,$X$1,IF(A28&gt;10,$AA$1,$Z$1))</f>
        <v>1503</v>
      </c>
      <c r="O28" s="7">
        <v>20</v>
      </c>
      <c r="P28" s="7" t="str">
        <f>IF(H28=1,"",INDEX($X$1:$X$3,MATCH(H28,$V$1:$V$3,0)))</f>
        <v/>
      </c>
      <c r="Q28" s="7" t="str">
        <f t="shared" si="5"/>
        <v/>
      </c>
      <c r="R28" s="7"/>
      <c r="S28" s="7">
        <f t="shared" si="6"/>
        <v>40</v>
      </c>
      <c r="T28" s="7"/>
      <c r="U28" s="7"/>
      <c r="V28" s="7"/>
      <c r="Y28" s="4"/>
      <c r="AA28" s="7"/>
    </row>
    <row r="29" spans="1:27">
      <c r="A29" s="7">
        <v>28</v>
      </c>
      <c r="B29" s="7">
        <f t="shared" si="10"/>
        <v>2560</v>
      </c>
      <c r="C29" s="7">
        <f t="shared" si="14"/>
        <v>64</v>
      </c>
      <c r="D29" s="7">
        <v>26</v>
      </c>
      <c r="E29" s="7"/>
      <c r="F29" s="7">
        <f t="shared" si="2"/>
        <v>51</v>
      </c>
      <c r="G29" s="7">
        <f t="shared" si="15"/>
        <v>259.2</v>
      </c>
      <c r="H29" s="7">
        <v>1</v>
      </c>
      <c r="I29" s="7">
        <f>IF(A29&lt;5,$X$1,IF(A29&gt;10,$AA$1,$Z$1))</f>
        <v>1503</v>
      </c>
      <c r="J29" s="7">
        <v>20</v>
      </c>
      <c r="K29" s="7" t="str">
        <f>IF(H29=1,"",INDEX($X$1:$X$3,MATCH(H29,$V$1:$V$3,0)))</f>
        <v/>
      </c>
      <c r="L29" s="7" t="str">
        <f t="shared" si="4"/>
        <v/>
      </c>
      <c r="M29" s="7">
        <v>0</v>
      </c>
      <c r="N29" s="7">
        <f>IF(A29&lt;5,$X$1,IF(A29&gt;10,$AA$1,$Z$1))</f>
        <v>1503</v>
      </c>
      <c r="O29" s="7">
        <v>20</v>
      </c>
      <c r="P29" s="7" t="str">
        <f>IF(H29=1,"",INDEX($X$1:$X$3,MATCH(H29,$V$1:$V$3,0)))</f>
        <v/>
      </c>
      <c r="Q29" s="7" t="str">
        <f t="shared" si="5"/>
        <v/>
      </c>
      <c r="R29" s="7"/>
      <c r="S29" s="7">
        <f t="shared" si="6"/>
        <v>40</v>
      </c>
      <c r="T29" s="7"/>
      <c r="U29" s="7"/>
      <c r="V29" s="7"/>
      <c r="Y29" s="4"/>
      <c r="AA29" s="7"/>
    </row>
    <row r="30" spans="1:27">
      <c r="A30" s="7">
        <v>29</v>
      </c>
      <c r="B30" s="7">
        <f t="shared" si="10"/>
        <v>2660</v>
      </c>
      <c r="C30" s="7">
        <f t="shared" si="14"/>
        <v>66</v>
      </c>
      <c r="D30" s="7">
        <v>27</v>
      </c>
      <c r="E30" s="7"/>
      <c r="F30" s="7">
        <f t="shared" si="2"/>
        <v>53</v>
      </c>
      <c r="G30" s="7">
        <f>G31*0.85</f>
        <v>275.4</v>
      </c>
      <c r="H30" s="7">
        <v>1</v>
      </c>
      <c r="I30" s="7">
        <f>IF(A30&lt;5,$X$1,IF(A30&gt;10,$AA$1,$Z$1))</f>
        <v>1503</v>
      </c>
      <c r="J30" s="7">
        <v>20</v>
      </c>
      <c r="K30" s="7" t="str">
        <f>IF(H30=1,"",INDEX($X$1:$X$3,MATCH(H30,$V$1:$V$3,0)))</f>
        <v/>
      </c>
      <c r="L30" s="7" t="str">
        <f t="shared" si="4"/>
        <v/>
      </c>
      <c r="M30" s="7">
        <v>0</v>
      </c>
      <c r="N30" s="7">
        <f>IF(A30&lt;5,$X$1,IF(A30&gt;10,$AA$1,$Z$1))</f>
        <v>1503</v>
      </c>
      <c r="O30" s="7">
        <v>20</v>
      </c>
      <c r="P30" s="7" t="str">
        <f>IF(H30=1,"",INDEX($X$1:$X$3,MATCH(H30,$V$1:$V$3,0)))</f>
        <v/>
      </c>
      <c r="Q30" s="7" t="str">
        <f t="shared" si="5"/>
        <v/>
      </c>
      <c r="R30" s="7"/>
      <c r="S30" s="7">
        <f t="shared" si="6"/>
        <v>40</v>
      </c>
      <c r="T30" s="7"/>
      <c r="U30" s="7"/>
      <c r="V30" s="7"/>
      <c r="Y30" s="4"/>
      <c r="AA30" s="7"/>
    </row>
    <row r="31" spans="1:27">
      <c r="A31" s="7">
        <v>30</v>
      </c>
      <c r="B31" s="7">
        <f t="shared" si="10"/>
        <v>2760</v>
      </c>
      <c r="C31" s="7">
        <f t="shared" si="14"/>
        <v>69</v>
      </c>
      <c r="D31" s="7">
        <v>28</v>
      </c>
      <c r="E31" s="7"/>
      <c r="F31" s="7">
        <f t="shared" si="2"/>
        <v>55</v>
      </c>
      <c r="G31" s="7">
        <v>324</v>
      </c>
      <c r="H31" s="7">
        <v>3</v>
      </c>
      <c r="I31" s="7">
        <f>IF(A31&lt;5,$X$1,IF(A31&gt;10,$AA$1,$Z$1))</f>
        <v>1503</v>
      </c>
      <c r="J31" s="7">
        <v>20</v>
      </c>
      <c r="K31" s="7">
        <f>IF(H31=1,"",INDEX($X$1:$X$3,MATCH(H31,$V$1:$V$3,0)))</f>
        <v>1506</v>
      </c>
      <c r="L31" s="7">
        <f t="shared" si="4"/>
        <v>1</v>
      </c>
      <c r="M31" s="7">
        <v>0</v>
      </c>
      <c r="N31" s="7">
        <f>IF(A31&lt;5,$X$1,IF(A31&gt;10,$AA$1,$Z$1))</f>
        <v>1503</v>
      </c>
      <c r="O31" s="7">
        <v>20</v>
      </c>
      <c r="P31" s="7">
        <f>IF(H31=1,"",INDEX($X$1:$X$3,MATCH(H31,$V$1:$V$3,0)))</f>
        <v>1506</v>
      </c>
      <c r="Q31" s="7">
        <f t="shared" si="5"/>
        <v>1</v>
      </c>
      <c r="R31" s="7"/>
      <c r="S31" s="7">
        <f t="shared" si="6"/>
        <v>42</v>
      </c>
      <c r="T31" s="7"/>
      <c r="U31" s="7"/>
      <c r="V31" s="7"/>
      <c r="Y31" s="4"/>
      <c r="AA31" s="7"/>
    </row>
    <row r="32" spans="1:27">
      <c r="A32" s="7"/>
      <c r="B32" s="7"/>
      <c r="C32" s="7">
        <f t="shared" si="14"/>
        <v>0</v>
      </c>
      <c r="D32" s="7"/>
      <c r="E32" s="7"/>
      <c r="F32" s="7">
        <f t="shared" si="2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/>
      <c r="C33" s="7">
        <f t="shared" si="14"/>
        <v>0</v>
      </c>
      <c r="D33" s="7"/>
      <c r="E33" s="7"/>
      <c r="F33" s="7">
        <f t="shared" si="2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6">IF(I2="","",_xlfn.TEXTJOIN(",",TRUE,I2:J2))</f>
        <v>1501,10</v>
      </c>
      <c r="J40" s="7" t="str">
        <f t="shared" ref="J40:J69" si="17">IF(I40="","",_xlfn.TEXTJOIN(",",TRUE,I40,H40))</f>
        <v>1501,10,1</v>
      </c>
      <c r="K40" s="7" t="str">
        <f t="shared" si="16"/>
        <v/>
      </c>
      <c r="L40" s="7" t="str">
        <f t="shared" ref="L40:L69" si="18">IF(K40="","",_xlfn.TEXTJOIN(",",TRUE,K40,H40))</f>
        <v/>
      </c>
      <c r="M40" s="7" t="str">
        <f t="shared" ref="M40:M69" si="19">_xlfn.TEXTJOIN(";",TRUE,J40,L40)</f>
        <v>1501,10,1</v>
      </c>
      <c r="N40" s="7" t="str">
        <f t="shared" si="16"/>
        <v>1501,10</v>
      </c>
      <c r="O40" s="7" t="str">
        <f t="shared" ref="O40:O69" si="20">IF(N40="","",N40&amp;","&amp;H40)</f>
        <v>1501,10,1</v>
      </c>
      <c r="P40" s="7" t="str">
        <f t="shared" ref="P40:P69" si="21">IF(P2="","",P2&amp;","&amp;Q2)</f>
        <v/>
      </c>
      <c r="Q40" s="7" t="str">
        <f t="shared" ref="Q40:Q69" si="22">IF(P40="","",P40&amp;","&amp;H40)</f>
        <v/>
      </c>
      <c r="R40" s="7" t="str">
        <f t="shared" ref="R40:R69" si="23">_xlfn.TEXTJOIN(";",TRUE,O40,Q40)</f>
        <v>1501,10,1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4">IF(I3="","",_xlfn.TEXTJOIN(",",TRUE,I3:J3))</f>
        <v>1501,10</v>
      </c>
      <c r="J41" s="7" t="str">
        <f t="shared" si="17"/>
        <v>1501,10,2</v>
      </c>
      <c r="K41" s="7" t="str">
        <f t="shared" si="24"/>
        <v/>
      </c>
      <c r="L41" s="7" t="str">
        <f t="shared" si="18"/>
        <v/>
      </c>
      <c r="M41" s="7" t="str">
        <f t="shared" si="19"/>
        <v>1501,10,2</v>
      </c>
      <c r="N41" s="7" t="str">
        <f t="shared" si="24"/>
        <v>1501,10</v>
      </c>
      <c r="O41" s="7" t="str">
        <f t="shared" si="20"/>
        <v>1501,10,2</v>
      </c>
      <c r="P41" s="7" t="str">
        <f t="shared" si="21"/>
        <v/>
      </c>
      <c r="Q41" s="7" t="str">
        <f t="shared" si="22"/>
        <v/>
      </c>
      <c r="R41" s="7" t="str">
        <f t="shared" si="23"/>
        <v>1501,10,2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5">IF(I4="","",_xlfn.TEXTJOIN(",",TRUE,I4:J4))</f>
        <v>1501,10</v>
      </c>
      <c r="J42" s="7" t="str">
        <f t="shared" si="17"/>
        <v>1501,10,3</v>
      </c>
      <c r="K42" s="7" t="str">
        <f t="shared" si="25"/>
        <v/>
      </c>
      <c r="L42" s="7" t="str">
        <f t="shared" si="18"/>
        <v/>
      </c>
      <c r="M42" s="7" t="str">
        <f t="shared" si="19"/>
        <v>1501,10,3</v>
      </c>
      <c r="N42" s="7" t="str">
        <f t="shared" si="25"/>
        <v>1501,10</v>
      </c>
      <c r="O42" s="7" t="str">
        <f t="shared" si="20"/>
        <v>1501,10,3</v>
      </c>
      <c r="P42" s="7" t="str">
        <f t="shared" si="21"/>
        <v/>
      </c>
      <c r="Q42" s="7" t="str">
        <f t="shared" si="22"/>
        <v/>
      </c>
      <c r="R42" s="7" t="str">
        <f t="shared" si="23"/>
        <v>1501,10,3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6">IF(I5="","",_xlfn.TEXTJOIN(",",TRUE,I5:J5))</f>
        <v>1501,10</v>
      </c>
      <c r="J43" s="7" t="str">
        <f t="shared" si="17"/>
        <v>1501,10,4</v>
      </c>
      <c r="K43" s="7" t="str">
        <f t="shared" si="26"/>
        <v/>
      </c>
      <c r="L43" s="7" t="str">
        <f t="shared" si="18"/>
        <v/>
      </c>
      <c r="M43" s="7" t="str">
        <f t="shared" si="19"/>
        <v>1501,10,4</v>
      </c>
      <c r="N43" s="7" t="str">
        <f t="shared" si="26"/>
        <v>1501,10</v>
      </c>
      <c r="O43" s="7" t="str">
        <f t="shared" si="20"/>
        <v>1501,10,4</v>
      </c>
      <c r="P43" s="7" t="str">
        <f t="shared" si="21"/>
        <v/>
      </c>
      <c r="Q43" s="7" t="str">
        <f t="shared" si="22"/>
        <v/>
      </c>
      <c r="R43" s="7" t="str">
        <f t="shared" si="23"/>
        <v>1501,10,4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7">IF(I6="","",_xlfn.TEXTJOIN(",",TRUE,I6:J6))</f>
        <v>1502,5</v>
      </c>
      <c r="J44" s="7" t="str">
        <f t="shared" si="17"/>
        <v>1502,5,5</v>
      </c>
      <c r="K44" s="7" t="str">
        <f t="shared" si="27"/>
        <v>1505,5</v>
      </c>
      <c r="L44" s="7" t="str">
        <f t="shared" si="18"/>
        <v>1505,5,5</v>
      </c>
      <c r="M44" s="7" t="str">
        <f t="shared" si="19"/>
        <v>1502,5,5;1505,5,5</v>
      </c>
      <c r="N44" s="7" t="str">
        <f t="shared" si="27"/>
        <v>1502,5</v>
      </c>
      <c r="O44" s="7" t="str">
        <f t="shared" si="20"/>
        <v>1502,5,5</v>
      </c>
      <c r="P44" s="7" t="str">
        <f t="shared" si="21"/>
        <v>1505,5</v>
      </c>
      <c r="Q44" s="7" t="str">
        <f t="shared" si="22"/>
        <v>1505,5,5</v>
      </c>
      <c r="R44" s="7" t="str">
        <f t="shared" si="23"/>
        <v>1502,5,5;1505,5,5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8">IF(I7="","",_xlfn.TEXTJOIN(",",TRUE,I7:J7))</f>
        <v>1502,10</v>
      </c>
      <c r="J45" s="7" t="str">
        <f t="shared" si="17"/>
        <v>1502,10,6</v>
      </c>
      <c r="K45" s="7" t="str">
        <f t="shared" si="28"/>
        <v/>
      </c>
      <c r="L45" s="7" t="str">
        <f t="shared" si="18"/>
        <v/>
      </c>
      <c r="M45" s="7" t="str">
        <f t="shared" si="19"/>
        <v>1502,10,6</v>
      </c>
      <c r="N45" s="7" t="str">
        <f t="shared" si="28"/>
        <v>1502,10</v>
      </c>
      <c r="O45" s="7" t="str">
        <f t="shared" si="20"/>
        <v>1502,10,6</v>
      </c>
      <c r="P45" s="7" t="str">
        <f t="shared" si="21"/>
        <v/>
      </c>
      <c r="Q45" s="7" t="str">
        <f t="shared" si="22"/>
        <v/>
      </c>
      <c r="R45" s="7" t="str">
        <f t="shared" si="23"/>
        <v>1502,10,6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9">IF(I8="","",_xlfn.TEXTJOIN(",",TRUE,I8:J8))</f>
        <v>1502,10</v>
      </c>
      <c r="J46" s="7" t="str">
        <f t="shared" si="17"/>
        <v>1502,10,7</v>
      </c>
      <c r="K46" s="7" t="str">
        <f t="shared" si="29"/>
        <v/>
      </c>
      <c r="L46" s="7" t="str">
        <f t="shared" si="18"/>
        <v/>
      </c>
      <c r="M46" s="7" t="str">
        <f t="shared" si="19"/>
        <v>1502,10,7</v>
      </c>
      <c r="N46" s="7" t="str">
        <f t="shared" si="29"/>
        <v>1502,10</v>
      </c>
      <c r="O46" s="7" t="str">
        <f t="shared" si="20"/>
        <v>1502,10,7</v>
      </c>
      <c r="P46" s="7" t="str">
        <f t="shared" si="21"/>
        <v/>
      </c>
      <c r="Q46" s="7" t="str">
        <f t="shared" si="22"/>
        <v/>
      </c>
      <c r="R46" s="7" t="str">
        <f t="shared" si="23"/>
        <v>1502,10,7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30">IF(I9="","",_xlfn.TEXTJOIN(",",TRUE,I9:J9))</f>
        <v>1502,10</v>
      </c>
      <c r="J47" s="7" t="str">
        <f t="shared" si="17"/>
        <v>1502,10,8</v>
      </c>
      <c r="K47" s="7" t="str">
        <f t="shared" si="30"/>
        <v/>
      </c>
      <c r="L47" s="7" t="str">
        <f t="shared" si="18"/>
        <v/>
      </c>
      <c r="M47" s="7" t="str">
        <f t="shared" si="19"/>
        <v>1502,10,8</v>
      </c>
      <c r="N47" s="7" t="str">
        <f t="shared" si="30"/>
        <v>1502,10</v>
      </c>
      <c r="O47" s="7" t="str">
        <f t="shared" si="20"/>
        <v>1502,10,8</v>
      </c>
      <c r="P47" s="7" t="str">
        <f t="shared" si="21"/>
        <v/>
      </c>
      <c r="Q47" s="7" t="str">
        <f t="shared" si="22"/>
        <v/>
      </c>
      <c r="R47" s="7" t="str">
        <f t="shared" si="23"/>
        <v>1502,10,8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31">IF(I10="","",_xlfn.TEXTJOIN(",",TRUE,I10:J10))</f>
        <v>1502,10</v>
      </c>
      <c r="J48" s="7" t="str">
        <f t="shared" si="17"/>
        <v>1502,10,9</v>
      </c>
      <c r="K48" s="7" t="str">
        <f t="shared" si="31"/>
        <v/>
      </c>
      <c r="L48" s="7" t="str">
        <f t="shared" si="18"/>
        <v/>
      </c>
      <c r="M48" s="7" t="str">
        <f t="shared" si="19"/>
        <v>1502,10,9</v>
      </c>
      <c r="N48" s="7" t="str">
        <f t="shared" si="31"/>
        <v>1502,10</v>
      </c>
      <c r="O48" s="7" t="str">
        <f t="shared" si="20"/>
        <v>1502,10,9</v>
      </c>
      <c r="P48" s="7" t="str">
        <f t="shared" si="21"/>
        <v/>
      </c>
      <c r="Q48" s="7" t="str">
        <f t="shared" si="22"/>
        <v/>
      </c>
      <c r="R48" s="7" t="str">
        <f t="shared" si="23"/>
        <v>1502,10,9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2">IF(I11="","",_xlfn.TEXTJOIN(",",TRUE,I11:J11))</f>
        <v>1502,10</v>
      </c>
      <c r="J49" s="7" t="str">
        <f t="shared" si="17"/>
        <v>1502,10,10</v>
      </c>
      <c r="K49" s="7" t="str">
        <f t="shared" si="32"/>
        <v>1506,1</v>
      </c>
      <c r="L49" s="7" t="str">
        <f t="shared" si="18"/>
        <v>1506,1,10</v>
      </c>
      <c r="M49" s="7" t="str">
        <f t="shared" si="19"/>
        <v>1502,10,10;1506,1,10</v>
      </c>
      <c r="N49" s="7" t="str">
        <f t="shared" si="32"/>
        <v>1502,10</v>
      </c>
      <c r="O49" s="7" t="str">
        <f t="shared" si="20"/>
        <v>1502,10,10</v>
      </c>
      <c r="P49" s="7" t="str">
        <f t="shared" si="21"/>
        <v>1506,1</v>
      </c>
      <c r="Q49" s="7" t="str">
        <f t="shared" si="22"/>
        <v>1506,1,10</v>
      </c>
      <c r="R49" s="7" t="str">
        <f t="shared" si="23"/>
        <v>1502,10,10;1506,1,10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3">IF(I12="","",_xlfn.TEXTJOIN(",",TRUE,I12:J12))</f>
        <v>1503,15</v>
      </c>
      <c r="J50" s="7" t="str">
        <f t="shared" si="17"/>
        <v>1503,15,11</v>
      </c>
      <c r="K50" s="7" t="str">
        <f t="shared" si="33"/>
        <v/>
      </c>
      <c r="L50" s="7" t="str">
        <f t="shared" si="18"/>
        <v/>
      </c>
      <c r="M50" s="7" t="str">
        <f t="shared" si="19"/>
        <v>1503,15,11</v>
      </c>
      <c r="N50" s="7" t="str">
        <f t="shared" si="33"/>
        <v>1503,15</v>
      </c>
      <c r="O50" s="7" t="str">
        <f t="shared" si="20"/>
        <v>1503,15,11</v>
      </c>
      <c r="P50" s="7" t="str">
        <f t="shared" si="21"/>
        <v/>
      </c>
      <c r="Q50" s="7" t="str">
        <f t="shared" si="22"/>
        <v/>
      </c>
      <c r="R50" s="7" t="str">
        <f t="shared" si="23"/>
        <v>1503,15,11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4">IF(I13="","",_xlfn.TEXTJOIN(",",TRUE,I13:J13))</f>
        <v>1503,15</v>
      </c>
      <c r="J51" s="7" t="str">
        <f t="shared" si="17"/>
        <v>1503,15,12</v>
      </c>
      <c r="K51" s="7" t="str">
        <f t="shared" si="34"/>
        <v/>
      </c>
      <c r="L51" s="7" t="str">
        <f t="shared" si="18"/>
        <v/>
      </c>
      <c r="M51" s="7" t="str">
        <f t="shared" si="19"/>
        <v>1503,15,12</v>
      </c>
      <c r="N51" s="7" t="str">
        <f t="shared" si="34"/>
        <v>1503,15</v>
      </c>
      <c r="O51" s="7" t="str">
        <f t="shared" si="20"/>
        <v>1503,15,12</v>
      </c>
      <c r="P51" s="7" t="str">
        <f t="shared" si="21"/>
        <v/>
      </c>
      <c r="Q51" s="7" t="str">
        <f t="shared" si="22"/>
        <v/>
      </c>
      <c r="R51" s="7" t="str">
        <f t="shared" si="23"/>
        <v>1503,15,12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5">IF(I14="","",_xlfn.TEXTJOIN(",",TRUE,I14:J14))</f>
        <v>1503,15</v>
      </c>
      <c r="J52" s="7" t="str">
        <f t="shared" si="17"/>
        <v>1503,15,13</v>
      </c>
      <c r="K52" s="7" t="str">
        <f t="shared" si="35"/>
        <v/>
      </c>
      <c r="L52" s="7" t="str">
        <f t="shared" si="18"/>
        <v/>
      </c>
      <c r="M52" s="7" t="str">
        <f t="shared" si="19"/>
        <v>1503,15,13</v>
      </c>
      <c r="N52" s="7" t="str">
        <f t="shared" si="35"/>
        <v>1503,15</v>
      </c>
      <c r="O52" s="7" t="str">
        <f t="shared" si="20"/>
        <v>1503,15,13</v>
      </c>
      <c r="P52" s="7" t="str">
        <f t="shared" si="21"/>
        <v/>
      </c>
      <c r="Q52" s="7" t="str">
        <f t="shared" si="22"/>
        <v/>
      </c>
      <c r="R52" s="7" t="str">
        <f t="shared" si="23"/>
        <v>1503,15,13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6">IF(I15="","",_xlfn.TEXTJOIN(",",TRUE,I15:J15))</f>
        <v>1503,15</v>
      </c>
      <c r="J53" s="7" t="str">
        <f t="shared" si="17"/>
        <v>1503,15,14</v>
      </c>
      <c r="K53" s="7" t="str">
        <f t="shared" si="36"/>
        <v/>
      </c>
      <c r="L53" s="7" t="str">
        <f t="shared" si="18"/>
        <v/>
      </c>
      <c r="M53" s="7" t="str">
        <f t="shared" si="19"/>
        <v>1503,15,14</v>
      </c>
      <c r="N53" s="7" t="str">
        <f t="shared" si="36"/>
        <v>1503,15</v>
      </c>
      <c r="O53" s="7" t="str">
        <f t="shared" si="20"/>
        <v>1503,15,14</v>
      </c>
      <c r="P53" s="7" t="str">
        <f t="shared" si="21"/>
        <v/>
      </c>
      <c r="Q53" s="7" t="str">
        <f t="shared" si="22"/>
        <v/>
      </c>
      <c r="R53" s="7" t="str">
        <f t="shared" si="23"/>
        <v>1503,15,14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7">IF(I16="","",_xlfn.TEXTJOIN(",",TRUE,I16:J16))</f>
        <v>1503,10</v>
      </c>
      <c r="J54" s="7" t="str">
        <f t="shared" si="17"/>
        <v>1503,10,15</v>
      </c>
      <c r="K54" s="7" t="str">
        <f t="shared" si="37"/>
        <v>1505,5</v>
      </c>
      <c r="L54" s="7" t="str">
        <f t="shared" si="18"/>
        <v>1505,5,15</v>
      </c>
      <c r="M54" s="7" t="str">
        <f t="shared" si="19"/>
        <v>1503,10,15;1505,5,15</v>
      </c>
      <c r="N54" s="7" t="str">
        <f t="shared" si="37"/>
        <v>1503,10</v>
      </c>
      <c r="O54" s="7" t="str">
        <f t="shared" si="20"/>
        <v>1503,10,15</v>
      </c>
      <c r="P54" s="7" t="str">
        <f t="shared" si="21"/>
        <v>1505,5</v>
      </c>
      <c r="Q54" s="7" t="str">
        <f t="shared" si="22"/>
        <v>1505,5,15</v>
      </c>
      <c r="R54" s="7" t="str">
        <f t="shared" si="23"/>
        <v>1503,10,15;1505,5,15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8">IF(I17="","",_xlfn.TEXTJOIN(",",TRUE,I17:J17))</f>
        <v>1503,15</v>
      </c>
      <c r="J55" s="7" t="str">
        <f t="shared" si="17"/>
        <v>1503,15,16</v>
      </c>
      <c r="K55" s="7" t="str">
        <f t="shared" si="38"/>
        <v/>
      </c>
      <c r="L55" s="7" t="str">
        <f t="shared" si="18"/>
        <v/>
      </c>
      <c r="M55" s="7" t="str">
        <f t="shared" si="19"/>
        <v>1503,15,16</v>
      </c>
      <c r="N55" s="7" t="str">
        <f t="shared" si="38"/>
        <v>1503,15</v>
      </c>
      <c r="O55" s="7" t="str">
        <f t="shared" si="20"/>
        <v>1503,15,16</v>
      </c>
      <c r="P55" s="7" t="str">
        <f t="shared" si="21"/>
        <v/>
      </c>
      <c r="Q55" s="7" t="str">
        <f t="shared" si="22"/>
        <v/>
      </c>
      <c r="R55" s="7" t="str">
        <f t="shared" si="23"/>
        <v>1503,15,16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9">IF(I18="","",_xlfn.TEXTJOIN(",",TRUE,I18:J18))</f>
        <v>1503,15</v>
      </c>
      <c r="J56" s="7" t="str">
        <f t="shared" si="17"/>
        <v>1503,15,17</v>
      </c>
      <c r="K56" s="7" t="str">
        <f t="shared" si="39"/>
        <v/>
      </c>
      <c r="L56" s="7" t="str">
        <f t="shared" si="18"/>
        <v/>
      </c>
      <c r="M56" s="7" t="str">
        <f t="shared" si="19"/>
        <v>1503,15,17</v>
      </c>
      <c r="N56" s="7" t="str">
        <f t="shared" si="39"/>
        <v>1503,15</v>
      </c>
      <c r="O56" s="7" t="str">
        <f t="shared" si="20"/>
        <v>1503,15,17</v>
      </c>
      <c r="P56" s="7" t="str">
        <f t="shared" si="21"/>
        <v/>
      </c>
      <c r="Q56" s="7" t="str">
        <f t="shared" si="22"/>
        <v/>
      </c>
      <c r="R56" s="7" t="str">
        <f t="shared" si="23"/>
        <v>1503,15,17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40">IF(I19="","",_xlfn.TEXTJOIN(",",TRUE,I19:J19))</f>
        <v>1503,15</v>
      </c>
      <c r="J57" s="7" t="str">
        <f t="shared" si="17"/>
        <v>1503,15,18</v>
      </c>
      <c r="K57" s="7" t="str">
        <f t="shared" si="40"/>
        <v/>
      </c>
      <c r="L57" s="7" t="str">
        <f t="shared" si="18"/>
        <v/>
      </c>
      <c r="M57" s="7" t="str">
        <f t="shared" si="19"/>
        <v>1503,15,18</v>
      </c>
      <c r="N57" s="7" t="str">
        <f t="shared" si="40"/>
        <v>1503,15</v>
      </c>
      <c r="O57" s="7" t="str">
        <f t="shared" si="20"/>
        <v>1503,15,18</v>
      </c>
      <c r="P57" s="7" t="str">
        <f t="shared" si="21"/>
        <v/>
      </c>
      <c r="Q57" s="7" t="str">
        <f t="shared" si="22"/>
        <v/>
      </c>
      <c r="R57" s="7" t="str">
        <f t="shared" si="23"/>
        <v>1503,15,18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41">IF(I20="","",_xlfn.TEXTJOIN(",",TRUE,I20:J20))</f>
        <v>1503,15</v>
      </c>
      <c r="J58" s="7" t="str">
        <f t="shared" si="17"/>
        <v>1503,15,19</v>
      </c>
      <c r="K58" s="7" t="str">
        <f t="shared" si="41"/>
        <v/>
      </c>
      <c r="L58" s="7" t="str">
        <f t="shared" si="18"/>
        <v/>
      </c>
      <c r="M58" s="7" t="str">
        <f t="shared" si="19"/>
        <v>1503,15,19</v>
      </c>
      <c r="N58" s="7" t="str">
        <f t="shared" si="41"/>
        <v>1503,15</v>
      </c>
      <c r="O58" s="7" t="str">
        <f t="shared" si="20"/>
        <v>1503,15,19</v>
      </c>
      <c r="P58" s="7" t="str">
        <f t="shared" si="21"/>
        <v/>
      </c>
      <c r="Q58" s="7" t="str">
        <f t="shared" si="22"/>
        <v/>
      </c>
      <c r="R58" s="7" t="str">
        <f t="shared" si="23"/>
        <v>1503,15,19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2">IF(I21="","",_xlfn.TEXTJOIN(",",TRUE,I21:J21))</f>
        <v>1503,15</v>
      </c>
      <c r="J59" s="7" t="str">
        <f t="shared" si="17"/>
        <v>1503,15,20</v>
      </c>
      <c r="K59" s="7" t="str">
        <f t="shared" si="42"/>
        <v>1506,1</v>
      </c>
      <c r="L59" s="7" t="str">
        <f t="shared" si="18"/>
        <v>1506,1,20</v>
      </c>
      <c r="M59" s="7" t="str">
        <f t="shared" si="19"/>
        <v>1503,15,20;1506,1,20</v>
      </c>
      <c r="N59" s="7" t="str">
        <f t="shared" si="42"/>
        <v>1503,15</v>
      </c>
      <c r="O59" s="7" t="str">
        <f t="shared" si="20"/>
        <v>1503,15,20</v>
      </c>
      <c r="P59" s="7" t="str">
        <f t="shared" si="21"/>
        <v>1506,1</v>
      </c>
      <c r="Q59" s="7" t="str">
        <f t="shared" si="22"/>
        <v>1506,1,20</v>
      </c>
      <c r="R59" s="7" t="str">
        <f t="shared" si="23"/>
        <v>1503,15,20;1506,1,20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3">IF(I22="","",_xlfn.TEXTJOIN(",",TRUE,I22:J22))</f>
        <v>1503,20</v>
      </c>
      <c r="J60" s="7" t="str">
        <f t="shared" si="17"/>
        <v>1503,20,21</v>
      </c>
      <c r="K60" s="7" t="str">
        <f t="shared" si="43"/>
        <v/>
      </c>
      <c r="L60" s="7" t="str">
        <f t="shared" si="18"/>
        <v/>
      </c>
      <c r="M60" s="7" t="str">
        <f t="shared" si="19"/>
        <v>1503,20,21</v>
      </c>
      <c r="N60" s="7" t="str">
        <f t="shared" si="43"/>
        <v>1503,20</v>
      </c>
      <c r="O60" s="7" t="str">
        <f t="shared" si="20"/>
        <v>1503,20,21</v>
      </c>
      <c r="P60" s="7" t="str">
        <f t="shared" si="21"/>
        <v/>
      </c>
      <c r="Q60" s="7" t="str">
        <f t="shared" si="22"/>
        <v/>
      </c>
      <c r="R60" s="7" t="str">
        <f t="shared" si="23"/>
        <v>1503,20,21</v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4">IF(I23="","",_xlfn.TEXTJOIN(",",TRUE,I23:J23))</f>
        <v>1503,20</v>
      </c>
      <c r="J61" s="7" t="str">
        <f t="shared" si="17"/>
        <v>1503,20,22</v>
      </c>
      <c r="K61" s="7" t="str">
        <f t="shared" si="44"/>
        <v/>
      </c>
      <c r="L61" s="7" t="str">
        <f t="shared" si="18"/>
        <v/>
      </c>
      <c r="M61" s="7" t="str">
        <f t="shared" si="19"/>
        <v>1503,20,22</v>
      </c>
      <c r="N61" s="7" t="str">
        <f t="shared" si="44"/>
        <v>1503,20</v>
      </c>
      <c r="O61" s="7" t="str">
        <f t="shared" si="20"/>
        <v>1503,20,22</v>
      </c>
      <c r="P61" s="7" t="str">
        <f t="shared" si="21"/>
        <v/>
      </c>
      <c r="Q61" s="7" t="str">
        <f t="shared" si="22"/>
        <v/>
      </c>
      <c r="R61" s="7" t="str">
        <f t="shared" si="23"/>
        <v>1503,20,22</v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5">IF(I24="","",_xlfn.TEXTJOIN(",",TRUE,I24:J24))</f>
        <v>1503,20</v>
      </c>
      <c r="J62" s="7" t="str">
        <f t="shared" si="17"/>
        <v>1503,20,23</v>
      </c>
      <c r="K62" s="7" t="str">
        <f t="shared" si="45"/>
        <v/>
      </c>
      <c r="L62" s="7" t="str">
        <f t="shared" si="18"/>
        <v/>
      </c>
      <c r="M62" s="7" t="str">
        <f t="shared" si="19"/>
        <v>1503,20,23</v>
      </c>
      <c r="N62" s="7" t="str">
        <f t="shared" si="45"/>
        <v>1503,20</v>
      </c>
      <c r="O62" s="7" t="str">
        <f t="shared" si="20"/>
        <v>1503,20,23</v>
      </c>
      <c r="P62" s="7" t="str">
        <f t="shared" si="21"/>
        <v/>
      </c>
      <c r="Q62" s="7" t="str">
        <f t="shared" si="22"/>
        <v/>
      </c>
      <c r="R62" s="7" t="str">
        <f t="shared" si="23"/>
        <v>1503,20,23</v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6">IF(I25="","",_xlfn.TEXTJOIN(",",TRUE,I25:J25))</f>
        <v>1503,20</v>
      </c>
      <c r="J63" s="7" t="str">
        <f t="shared" si="17"/>
        <v>1503,20,24</v>
      </c>
      <c r="K63" s="7" t="str">
        <f t="shared" si="46"/>
        <v/>
      </c>
      <c r="L63" s="7" t="str">
        <f t="shared" si="18"/>
        <v/>
      </c>
      <c r="M63" s="7" t="str">
        <f t="shared" si="19"/>
        <v>1503,20,24</v>
      </c>
      <c r="N63" s="7" t="str">
        <f t="shared" si="46"/>
        <v>1503,20</v>
      </c>
      <c r="O63" s="7" t="str">
        <f t="shared" si="20"/>
        <v>1503,20,24</v>
      </c>
      <c r="P63" s="7" t="str">
        <f t="shared" si="21"/>
        <v/>
      </c>
      <c r="Q63" s="7" t="str">
        <f t="shared" si="22"/>
        <v/>
      </c>
      <c r="R63" s="7" t="str">
        <f t="shared" si="23"/>
        <v>1503,20,24</v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7">IF(I26="","",_xlfn.TEXTJOIN(",",TRUE,I26:J26))</f>
        <v>1503,10</v>
      </c>
      <c r="J64" s="7" t="str">
        <f t="shared" si="17"/>
        <v>1503,10,25</v>
      </c>
      <c r="K64" s="7" t="str">
        <f t="shared" si="47"/>
        <v>1505,5</v>
      </c>
      <c r="L64" s="7" t="str">
        <f t="shared" si="18"/>
        <v>1505,5,25</v>
      </c>
      <c r="M64" s="7" t="str">
        <f t="shared" si="19"/>
        <v>1503,10,25;1505,5,25</v>
      </c>
      <c r="N64" s="7" t="str">
        <f t="shared" si="47"/>
        <v>1503,10</v>
      </c>
      <c r="O64" s="7" t="str">
        <f t="shared" si="20"/>
        <v>1503,10,25</v>
      </c>
      <c r="P64" s="7" t="str">
        <f t="shared" si="21"/>
        <v>1505,5</v>
      </c>
      <c r="Q64" s="7" t="str">
        <f t="shared" si="22"/>
        <v>1505,5,25</v>
      </c>
      <c r="R64" s="7" t="str">
        <f t="shared" si="23"/>
        <v>1503,10,25;1505,5,25</v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8">IF(I27="","",_xlfn.TEXTJOIN(",",TRUE,I27:J27))</f>
        <v>1503,20</v>
      </c>
      <c r="J65" s="7" t="str">
        <f t="shared" si="17"/>
        <v>1503,20,26</v>
      </c>
      <c r="K65" s="7" t="str">
        <f t="shared" si="48"/>
        <v/>
      </c>
      <c r="L65" s="7" t="str">
        <f t="shared" si="18"/>
        <v/>
      </c>
      <c r="M65" s="7" t="str">
        <f t="shared" si="19"/>
        <v>1503,20,26</v>
      </c>
      <c r="N65" s="7" t="str">
        <f t="shared" si="48"/>
        <v>1503,20</v>
      </c>
      <c r="O65" s="7" t="str">
        <f t="shared" si="20"/>
        <v>1503,20,26</v>
      </c>
      <c r="P65" s="7" t="str">
        <f t="shared" si="21"/>
        <v/>
      </c>
      <c r="Q65" s="7" t="str">
        <f t="shared" si="22"/>
        <v/>
      </c>
      <c r="R65" s="7" t="str">
        <f t="shared" si="23"/>
        <v>1503,20,26</v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9">IF(I28="","",_xlfn.TEXTJOIN(",",TRUE,I28:J28))</f>
        <v>1503,20</v>
      </c>
      <c r="J66" s="7" t="str">
        <f t="shared" si="17"/>
        <v>1503,20,27</v>
      </c>
      <c r="K66" s="7" t="str">
        <f t="shared" si="49"/>
        <v/>
      </c>
      <c r="L66" s="7" t="str">
        <f t="shared" si="18"/>
        <v/>
      </c>
      <c r="M66" s="7" t="str">
        <f t="shared" si="19"/>
        <v>1503,20,27</v>
      </c>
      <c r="N66" s="7" t="str">
        <f t="shared" si="49"/>
        <v>1503,20</v>
      </c>
      <c r="O66" s="7" t="str">
        <f t="shared" si="20"/>
        <v>1503,20,27</v>
      </c>
      <c r="P66" s="7" t="str">
        <f t="shared" si="21"/>
        <v/>
      </c>
      <c r="Q66" s="7" t="str">
        <f t="shared" si="22"/>
        <v/>
      </c>
      <c r="R66" s="7" t="str">
        <f t="shared" si="23"/>
        <v>1503,20,27</v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50">IF(I29="","",_xlfn.TEXTJOIN(",",TRUE,I29:J29))</f>
        <v>1503,20</v>
      </c>
      <c r="J67" s="7" t="str">
        <f t="shared" si="17"/>
        <v>1503,20,28</v>
      </c>
      <c r="K67" s="7" t="str">
        <f t="shared" si="50"/>
        <v/>
      </c>
      <c r="L67" s="7" t="str">
        <f t="shared" si="18"/>
        <v/>
      </c>
      <c r="M67" s="7" t="str">
        <f t="shared" si="19"/>
        <v>1503,20,28</v>
      </c>
      <c r="N67" s="7" t="str">
        <f t="shared" si="50"/>
        <v>1503,20</v>
      </c>
      <c r="O67" s="7" t="str">
        <f t="shared" si="20"/>
        <v>1503,20,28</v>
      </c>
      <c r="P67" s="7" t="str">
        <f t="shared" si="21"/>
        <v/>
      </c>
      <c r="Q67" s="7" t="str">
        <f t="shared" si="22"/>
        <v/>
      </c>
      <c r="R67" s="7" t="str">
        <f t="shared" si="23"/>
        <v>1503,20,28</v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51">IF(I30="","",_xlfn.TEXTJOIN(",",TRUE,I30:J30))</f>
        <v>1503,20</v>
      </c>
      <c r="J68" s="7" t="str">
        <f t="shared" si="17"/>
        <v>1503,20,29</v>
      </c>
      <c r="K68" s="7" t="str">
        <f t="shared" si="51"/>
        <v/>
      </c>
      <c r="L68" s="7" t="str">
        <f t="shared" si="18"/>
        <v/>
      </c>
      <c r="M68" s="7" t="str">
        <f t="shared" si="19"/>
        <v>1503,20,29</v>
      </c>
      <c r="N68" s="7" t="str">
        <f t="shared" si="51"/>
        <v>1503,20</v>
      </c>
      <c r="O68" s="7" t="str">
        <f t="shared" si="20"/>
        <v>1503,20,29</v>
      </c>
      <c r="P68" s="7" t="str">
        <f t="shared" si="21"/>
        <v/>
      </c>
      <c r="Q68" s="7" t="str">
        <f t="shared" si="22"/>
        <v/>
      </c>
      <c r="R68" s="7" t="str">
        <f t="shared" si="23"/>
        <v>1503,20,29</v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2">IF(I31="","",_xlfn.TEXTJOIN(",",TRUE,I31:J31))</f>
        <v>1503,20</v>
      </c>
      <c r="J69" s="7" t="str">
        <f t="shared" si="17"/>
        <v>1503,20,30</v>
      </c>
      <c r="K69" s="7" t="str">
        <f t="shared" si="52"/>
        <v>1506,1</v>
      </c>
      <c r="L69" s="7" t="str">
        <f t="shared" si="18"/>
        <v>1506,1,30</v>
      </c>
      <c r="M69" s="7" t="str">
        <f t="shared" si="19"/>
        <v>1503,20,30;1506,1,30</v>
      </c>
      <c r="N69" s="7" t="str">
        <f t="shared" si="52"/>
        <v>1503,20</v>
      </c>
      <c r="O69" s="7" t="str">
        <f t="shared" si="20"/>
        <v>1503,20,30</v>
      </c>
      <c r="P69" s="7" t="str">
        <f t="shared" si="21"/>
        <v>1506,1</v>
      </c>
      <c r="Q69" s="7" t="str">
        <f t="shared" si="22"/>
        <v>1506,1,30</v>
      </c>
      <c r="R69" s="7" t="str">
        <f t="shared" si="23"/>
        <v>1503,20,30;1506,1,30</v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1501,10,1|1501,10,2|1501,10,3|1501,10,4|1502,5,5;1505,5,5|1502,10,6|1502,10,7|1502,10,8|1502,10,9|1502,10,10;1506,1,10|1503,15,11|1503,15,12|1503,15,13|1503,15,14|1503,10,15;1505,5,15|1503,15,16|1503,15,17|1503,15,18|1503,15,19|1503,15,20;1506,1,20|1503,20,21|1503,20,22|1503,20,23|1503,20,24|1503,10,25;1505,5,25|1503,20,26|1503,20,27|1503,20,28|1503,20,29|1503,20,30;1506,1,30</v>
      </c>
      <c r="N71" s="7"/>
      <c r="O71" s="7"/>
      <c r="P71" s="7"/>
      <c r="Q71" s="7"/>
      <c r="R71" s="15" t="str">
        <f>_xlfn.TEXTJOIN("|",TRUE,R40:R69)</f>
        <v>1501,10,1|1501,10,2|1501,10,3|1501,10,4|1502,5,5;1505,5,5|1502,10,6|1502,10,7|1502,10,8|1502,10,9|1502,10,10;1506,1,10|1503,15,11|1503,15,12|1503,15,13|1503,15,14|1503,10,15;1505,5,15|1503,15,16|1503,15,17|1503,15,18|1503,15,19|1503,15,20;1506,1,20|1503,20,21|1503,20,22|1503,20,23|1503,20,24|1503,10,25;1505,5,25|1503,20,26|1503,20,27|1503,20,28|1503,20,29|1503,20,30;1506,1,30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4</v>
      </c>
      <c r="O79" s="4">
        <f>W79*(1-(N79-1)/6)*1</f>
        <v>1</v>
      </c>
      <c r="P79" s="7">
        <f>W79/6*1</f>
        <v>0.333333333333333</v>
      </c>
      <c r="Q79" s="7">
        <f>W79/6*1</f>
        <v>0.333333333333333</v>
      </c>
      <c r="R79" s="7">
        <f>W79/6*1</f>
        <v>0.333333333333333</v>
      </c>
      <c r="S79" s="7">
        <v>0</v>
      </c>
      <c r="T79" s="7">
        <v>0</v>
      </c>
      <c r="U79" s="7">
        <f t="shared" ref="U79:U108" si="53">SUM(P79:T79)+O79*0.2</f>
        <v>1.2</v>
      </c>
      <c r="V79" s="4">
        <v>1</v>
      </c>
      <c r="W79" s="7">
        <f t="shared" ref="W79:W108" si="54">C2</f>
        <v>2</v>
      </c>
      <c r="X79" s="4">
        <f t="shared" ref="X79:X108" si="55">(O79*W79)^V79</f>
        <v>2</v>
      </c>
      <c r="Y79" s="4">
        <f t="shared" ref="Y79:Y108" si="56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7">$R$77*U79*(AB79+AC79)</f>
        <v>1050</v>
      </c>
      <c r="AE79" s="4">
        <f t="shared" ref="AE79:AE108" si="58">ROUND(AD79/AA79*V79,0)</f>
        <v>53</v>
      </c>
      <c r="AF79" s="4">
        <f t="shared" ref="AF79:AF108" si="59">ROUND(AD79/AA79*V79*AG79,0)</f>
        <v>18</v>
      </c>
      <c r="AG79" s="4">
        <v>0.35</v>
      </c>
      <c r="AH79" s="4">
        <f>AF79</f>
        <v>18</v>
      </c>
    </row>
    <row r="80" customFormat="1" spans="1:34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4</v>
      </c>
      <c r="O80" s="4">
        <f t="shared" ref="O80:O108" si="60">W80*(1-(N80-1)/6)*1</f>
        <v>2</v>
      </c>
      <c r="P80" s="7">
        <f t="shared" ref="P80:P108" si="61">W80/6*1</f>
        <v>0.666666666666667</v>
      </c>
      <c r="Q80" s="7">
        <f t="shared" ref="Q80:Q108" si="62">W80/6*1</f>
        <v>0.666666666666667</v>
      </c>
      <c r="R80" s="7">
        <f t="shared" ref="R80:R108" si="63">W80/6*1</f>
        <v>0.666666666666667</v>
      </c>
      <c r="S80" s="7">
        <v>0</v>
      </c>
      <c r="T80" s="7">
        <v>0</v>
      </c>
      <c r="U80" s="7">
        <f t="shared" si="53"/>
        <v>2.4</v>
      </c>
      <c r="V80" s="4">
        <v>1</v>
      </c>
      <c r="W80" s="7">
        <f t="shared" si="54"/>
        <v>4</v>
      </c>
      <c r="X80" s="4">
        <f t="shared" si="55"/>
        <v>8</v>
      </c>
      <c r="Y80" s="4">
        <f t="shared" si="56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7"/>
        <v>2100</v>
      </c>
      <c r="AE80" s="4">
        <f t="shared" si="58"/>
        <v>105</v>
      </c>
      <c r="AF80" s="4">
        <f t="shared" si="59"/>
        <v>37</v>
      </c>
      <c r="AG80" s="4">
        <v>0.35</v>
      </c>
      <c r="AH80" s="4">
        <f t="shared" ref="AH80:AH108" si="64">AF80</f>
        <v>37</v>
      </c>
    </row>
    <row r="81" customFormat="1" spans="1:34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4</v>
      </c>
      <c r="O81" s="4">
        <f t="shared" si="60"/>
        <v>3</v>
      </c>
      <c r="P81" s="7">
        <f t="shared" si="61"/>
        <v>1</v>
      </c>
      <c r="Q81" s="7">
        <f t="shared" si="62"/>
        <v>1</v>
      </c>
      <c r="R81" s="7">
        <f t="shared" si="63"/>
        <v>1</v>
      </c>
      <c r="S81" s="7">
        <v>0</v>
      </c>
      <c r="T81" s="7">
        <v>0</v>
      </c>
      <c r="U81" s="7">
        <f t="shared" si="53"/>
        <v>3.6</v>
      </c>
      <c r="V81" s="4">
        <v>1</v>
      </c>
      <c r="W81" s="7">
        <f t="shared" si="54"/>
        <v>6</v>
      </c>
      <c r="X81" s="4">
        <f t="shared" si="55"/>
        <v>18</v>
      </c>
      <c r="Y81" s="4">
        <f t="shared" si="56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7"/>
        <v>3150</v>
      </c>
      <c r="AE81" s="4">
        <f t="shared" si="58"/>
        <v>158</v>
      </c>
      <c r="AF81" s="4">
        <f t="shared" si="59"/>
        <v>63</v>
      </c>
      <c r="AG81" s="4">
        <v>0.4</v>
      </c>
      <c r="AH81" s="4">
        <f t="shared" si="64"/>
        <v>63</v>
      </c>
    </row>
    <row r="82" customFormat="1" spans="1:34">
      <c r="A82" s="4">
        <v>4</v>
      </c>
      <c r="B82" s="7">
        <v>1</v>
      </c>
      <c r="C82" s="7"/>
      <c r="D82" s="7"/>
      <c r="E82" s="7"/>
      <c r="F82" s="7"/>
      <c r="G82" s="7"/>
      <c r="H82" s="4">
        <v>1</v>
      </c>
      <c r="I82" s="4"/>
      <c r="J82" s="7"/>
      <c r="K82" s="7"/>
      <c r="L82" s="7">
        <v>0</v>
      </c>
      <c r="M82" s="7">
        <v>0</v>
      </c>
      <c r="N82" s="7">
        <v>4</v>
      </c>
      <c r="O82" s="4">
        <f t="shared" si="60"/>
        <v>3.5</v>
      </c>
      <c r="P82" s="7">
        <f t="shared" si="61"/>
        <v>1.16666666666667</v>
      </c>
      <c r="Q82" s="7">
        <f t="shared" si="62"/>
        <v>1.16666666666667</v>
      </c>
      <c r="R82" s="7">
        <f t="shared" si="63"/>
        <v>1.16666666666667</v>
      </c>
      <c r="S82" s="7">
        <v>0</v>
      </c>
      <c r="T82" s="7">
        <v>0</v>
      </c>
      <c r="U82" s="7">
        <f t="shared" si="53"/>
        <v>4.2</v>
      </c>
      <c r="V82" s="4">
        <v>1</v>
      </c>
      <c r="W82" s="7">
        <f t="shared" si="54"/>
        <v>7</v>
      </c>
      <c r="X82" s="4">
        <f t="shared" si="55"/>
        <v>24.5</v>
      </c>
      <c r="Y82" s="4">
        <f t="shared" si="56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7"/>
        <v>3675</v>
      </c>
      <c r="AE82" s="4">
        <f t="shared" si="58"/>
        <v>184</v>
      </c>
      <c r="AF82" s="4">
        <f t="shared" si="59"/>
        <v>74</v>
      </c>
      <c r="AG82" s="4">
        <v>0.4</v>
      </c>
      <c r="AH82" s="4">
        <f t="shared" si="64"/>
        <v>74</v>
      </c>
    </row>
    <row r="83" customFormat="1" spans="1:34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4</v>
      </c>
      <c r="O83" s="4">
        <f t="shared" si="60"/>
        <v>4.5</v>
      </c>
      <c r="P83" s="7">
        <f t="shared" si="61"/>
        <v>1.5</v>
      </c>
      <c r="Q83" s="7">
        <f t="shared" si="62"/>
        <v>1.5</v>
      </c>
      <c r="R83" s="7">
        <f t="shared" si="63"/>
        <v>1.5</v>
      </c>
      <c r="S83" s="7">
        <v>0</v>
      </c>
      <c r="T83" s="7">
        <v>0</v>
      </c>
      <c r="U83" s="7">
        <f t="shared" si="53"/>
        <v>5.4</v>
      </c>
      <c r="V83" s="4">
        <v>1</v>
      </c>
      <c r="W83" s="7">
        <f t="shared" si="54"/>
        <v>9</v>
      </c>
      <c r="X83" s="4">
        <f t="shared" si="55"/>
        <v>40.5</v>
      </c>
      <c r="Y83" s="4">
        <f t="shared" si="56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7"/>
        <v>4725</v>
      </c>
      <c r="AE83" s="4">
        <f t="shared" si="58"/>
        <v>118</v>
      </c>
      <c r="AF83" s="4">
        <f t="shared" si="59"/>
        <v>53</v>
      </c>
      <c r="AG83" s="4">
        <v>0.45</v>
      </c>
      <c r="AH83" s="4">
        <f t="shared" si="64"/>
        <v>53</v>
      </c>
    </row>
    <row r="84" customFormat="1" spans="1:34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/>
      <c r="K84" s="7"/>
      <c r="L84" s="7">
        <v>0</v>
      </c>
      <c r="M84" s="7">
        <v>0</v>
      </c>
      <c r="N84" s="7">
        <v>4</v>
      </c>
      <c r="O84" s="4">
        <f t="shared" si="60"/>
        <v>5.5</v>
      </c>
      <c r="P84" s="7">
        <f t="shared" si="61"/>
        <v>1.83333333333333</v>
      </c>
      <c r="Q84" s="7">
        <f t="shared" si="62"/>
        <v>1.83333333333333</v>
      </c>
      <c r="R84" s="7">
        <f t="shared" si="63"/>
        <v>1.83333333333333</v>
      </c>
      <c r="S84" s="7">
        <v>0</v>
      </c>
      <c r="T84" s="7">
        <v>0</v>
      </c>
      <c r="U84" s="7">
        <f t="shared" si="53"/>
        <v>6.6</v>
      </c>
      <c r="V84" s="4">
        <v>1</v>
      </c>
      <c r="W84" s="7">
        <f t="shared" si="54"/>
        <v>11</v>
      </c>
      <c r="X84" s="4">
        <f t="shared" si="55"/>
        <v>60.5</v>
      </c>
      <c r="Y84" s="4">
        <f t="shared" si="56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7"/>
        <v>5775</v>
      </c>
      <c r="AE84" s="4">
        <f t="shared" si="58"/>
        <v>289</v>
      </c>
      <c r="AF84" s="4">
        <f t="shared" si="59"/>
        <v>130</v>
      </c>
      <c r="AG84" s="4">
        <v>0.45</v>
      </c>
      <c r="AH84" s="4">
        <f t="shared" si="64"/>
        <v>130</v>
      </c>
    </row>
    <row r="85" customFormat="1" spans="1:34">
      <c r="A85" s="9">
        <v>7</v>
      </c>
      <c r="B85" s="10"/>
      <c r="C85" s="10"/>
      <c r="D85" s="10"/>
      <c r="E85" s="10"/>
      <c r="F85" s="10"/>
      <c r="G85" s="10"/>
      <c r="H85" s="4">
        <v>0.5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 t="shared" si="60"/>
        <v>6.5</v>
      </c>
      <c r="P85" s="7">
        <f t="shared" si="61"/>
        <v>2.16666666666667</v>
      </c>
      <c r="Q85" s="7">
        <f t="shared" si="62"/>
        <v>2.16666666666667</v>
      </c>
      <c r="R85" s="7">
        <f t="shared" si="63"/>
        <v>2.16666666666667</v>
      </c>
      <c r="S85" s="7">
        <v>0</v>
      </c>
      <c r="T85" s="7">
        <v>0</v>
      </c>
      <c r="U85" s="7">
        <f t="shared" si="53"/>
        <v>7.8</v>
      </c>
      <c r="V85" s="4">
        <v>1</v>
      </c>
      <c r="W85" s="7">
        <f t="shared" si="54"/>
        <v>13</v>
      </c>
      <c r="X85" s="4">
        <f t="shared" si="55"/>
        <v>84.5</v>
      </c>
      <c r="Y85" s="4">
        <f t="shared" si="56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7"/>
        <v>6825</v>
      </c>
      <c r="AE85" s="4">
        <f t="shared" si="58"/>
        <v>341</v>
      </c>
      <c r="AF85" s="4">
        <f t="shared" si="59"/>
        <v>154</v>
      </c>
      <c r="AG85" s="4">
        <v>0.45</v>
      </c>
      <c r="AH85" s="4">
        <f t="shared" si="64"/>
        <v>154</v>
      </c>
    </row>
    <row r="86" customFormat="1" spans="1:34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 t="shared" si="60"/>
        <v>7</v>
      </c>
      <c r="P86" s="7">
        <f t="shared" si="61"/>
        <v>2.33333333333333</v>
      </c>
      <c r="Q86" s="7">
        <f t="shared" si="62"/>
        <v>2.33333333333333</v>
      </c>
      <c r="R86" s="7">
        <f t="shared" si="63"/>
        <v>2.33333333333333</v>
      </c>
      <c r="S86" s="7">
        <v>0</v>
      </c>
      <c r="T86" s="7">
        <v>0</v>
      </c>
      <c r="U86" s="7">
        <f t="shared" si="53"/>
        <v>8.4</v>
      </c>
      <c r="V86" s="4">
        <v>1</v>
      </c>
      <c r="W86" s="7">
        <f t="shared" si="54"/>
        <v>14</v>
      </c>
      <c r="X86" s="4">
        <f t="shared" si="55"/>
        <v>98</v>
      </c>
      <c r="Y86" s="4">
        <f t="shared" si="56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7"/>
        <v>7350</v>
      </c>
      <c r="AE86" s="4">
        <f t="shared" si="58"/>
        <v>368</v>
      </c>
      <c r="AF86" s="4">
        <f t="shared" si="59"/>
        <v>165</v>
      </c>
      <c r="AG86" s="4">
        <v>0.45</v>
      </c>
      <c r="AH86" s="4">
        <f t="shared" si="64"/>
        <v>165</v>
      </c>
    </row>
    <row r="87" customFormat="1" spans="1:34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 t="shared" si="60"/>
        <v>8</v>
      </c>
      <c r="P87" s="7">
        <f t="shared" si="61"/>
        <v>2.66666666666667</v>
      </c>
      <c r="Q87" s="7">
        <f t="shared" si="62"/>
        <v>2.66666666666667</v>
      </c>
      <c r="R87" s="7">
        <f t="shared" si="63"/>
        <v>2.66666666666667</v>
      </c>
      <c r="S87" s="7">
        <v>0</v>
      </c>
      <c r="T87" s="7">
        <v>0</v>
      </c>
      <c r="U87" s="7">
        <f t="shared" si="53"/>
        <v>9.6</v>
      </c>
      <c r="V87" s="4">
        <v>1</v>
      </c>
      <c r="W87" s="7">
        <f t="shared" si="54"/>
        <v>16</v>
      </c>
      <c r="X87" s="4">
        <f t="shared" si="55"/>
        <v>128</v>
      </c>
      <c r="Y87" s="4">
        <f t="shared" si="56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7"/>
        <v>8400</v>
      </c>
      <c r="AE87" s="4">
        <f t="shared" si="58"/>
        <v>420</v>
      </c>
      <c r="AF87" s="4">
        <f t="shared" si="59"/>
        <v>189</v>
      </c>
      <c r="AG87" s="4">
        <v>0.45</v>
      </c>
      <c r="AH87" s="4">
        <f t="shared" si="64"/>
        <v>189</v>
      </c>
    </row>
    <row r="88" customFormat="1" spans="1:34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 t="shared" si="60"/>
        <v>9.5</v>
      </c>
      <c r="P88" s="7">
        <f t="shared" si="61"/>
        <v>3.16666666666667</v>
      </c>
      <c r="Q88" s="7">
        <f t="shared" si="62"/>
        <v>3.16666666666667</v>
      </c>
      <c r="R88" s="7">
        <f t="shared" si="63"/>
        <v>3.16666666666667</v>
      </c>
      <c r="S88" s="7">
        <v>0</v>
      </c>
      <c r="T88" s="7">
        <v>0</v>
      </c>
      <c r="U88" s="7">
        <f t="shared" si="53"/>
        <v>11.4</v>
      </c>
      <c r="V88" s="4">
        <v>1</v>
      </c>
      <c r="W88" s="7">
        <f t="shared" si="54"/>
        <v>19</v>
      </c>
      <c r="X88" s="4">
        <f t="shared" si="55"/>
        <v>180.5</v>
      </c>
      <c r="Y88" s="4">
        <f t="shared" si="56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7"/>
        <v>9975</v>
      </c>
      <c r="AE88" s="4">
        <f t="shared" si="58"/>
        <v>249</v>
      </c>
      <c r="AF88" s="4">
        <f t="shared" si="59"/>
        <v>125</v>
      </c>
      <c r="AG88" s="4">
        <v>0.5</v>
      </c>
      <c r="AH88" s="4">
        <f t="shared" si="64"/>
        <v>125</v>
      </c>
    </row>
    <row r="89" customFormat="1" spans="1:34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 t="shared" si="60"/>
        <v>10.5</v>
      </c>
      <c r="P89" s="7">
        <f t="shared" si="61"/>
        <v>3.5</v>
      </c>
      <c r="Q89" s="7">
        <f t="shared" si="62"/>
        <v>3.5</v>
      </c>
      <c r="R89" s="7">
        <f t="shared" si="63"/>
        <v>3.5</v>
      </c>
      <c r="S89" s="7">
        <v>0</v>
      </c>
      <c r="T89" s="7">
        <v>0</v>
      </c>
      <c r="U89" s="7">
        <f t="shared" si="53"/>
        <v>12.6</v>
      </c>
      <c r="V89" s="4">
        <v>1</v>
      </c>
      <c r="W89" s="7">
        <f t="shared" si="54"/>
        <v>21</v>
      </c>
      <c r="X89" s="4">
        <f t="shared" si="55"/>
        <v>220.5</v>
      </c>
      <c r="Y89" s="4">
        <f t="shared" si="56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7"/>
        <v>11025</v>
      </c>
      <c r="AE89" s="4">
        <f t="shared" si="58"/>
        <v>368</v>
      </c>
      <c r="AF89" s="4">
        <f t="shared" si="59"/>
        <v>184</v>
      </c>
      <c r="AG89" s="4">
        <v>0.5</v>
      </c>
      <c r="AH89" s="4">
        <f t="shared" si="64"/>
        <v>184</v>
      </c>
    </row>
    <row r="90" customFormat="1" spans="1:34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 t="shared" si="60"/>
        <v>12</v>
      </c>
      <c r="P90" s="7">
        <f t="shared" si="61"/>
        <v>4</v>
      </c>
      <c r="Q90" s="7">
        <f t="shared" si="62"/>
        <v>4</v>
      </c>
      <c r="R90" s="7">
        <f t="shared" si="63"/>
        <v>4</v>
      </c>
      <c r="S90" s="7">
        <v>0</v>
      </c>
      <c r="T90" s="7">
        <v>0</v>
      </c>
      <c r="U90" s="7">
        <f t="shared" si="53"/>
        <v>14.4</v>
      </c>
      <c r="V90" s="4">
        <v>1</v>
      </c>
      <c r="W90" s="7">
        <f t="shared" si="54"/>
        <v>24</v>
      </c>
      <c r="X90" s="4">
        <f t="shared" si="55"/>
        <v>288</v>
      </c>
      <c r="Y90" s="4">
        <f t="shared" si="56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7"/>
        <v>12600</v>
      </c>
      <c r="AE90" s="4">
        <f t="shared" si="58"/>
        <v>420</v>
      </c>
      <c r="AF90" s="4">
        <f t="shared" si="59"/>
        <v>231</v>
      </c>
      <c r="AG90" s="4">
        <v>0.55</v>
      </c>
      <c r="AH90" s="4">
        <f t="shared" si="64"/>
        <v>231</v>
      </c>
    </row>
    <row r="91" customFormat="1" spans="1:34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 t="shared" si="60"/>
        <v>13</v>
      </c>
      <c r="P91" s="7">
        <f t="shared" si="61"/>
        <v>4.33333333333333</v>
      </c>
      <c r="Q91" s="7">
        <f t="shared" si="62"/>
        <v>4.33333333333333</v>
      </c>
      <c r="R91" s="7">
        <f t="shared" si="63"/>
        <v>4.33333333333333</v>
      </c>
      <c r="S91" s="7">
        <v>0</v>
      </c>
      <c r="T91" s="7">
        <v>0</v>
      </c>
      <c r="U91" s="7">
        <f t="shared" si="53"/>
        <v>15.6</v>
      </c>
      <c r="V91" s="4">
        <v>1</v>
      </c>
      <c r="W91" s="7">
        <f t="shared" si="54"/>
        <v>26</v>
      </c>
      <c r="X91" s="4">
        <f t="shared" si="55"/>
        <v>338</v>
      </c>
      <c r="Y91" s="4">
        <f t="shared" si="56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7"/>
        <v>13650</v>
      </c>
      <c r="AE91" s="4">
        <f t="shared" si="58"/>
        <v>455</v>
      </c>
      <c r="AF91" s="4">
        <f t="shared" si="59"/>
        <v>250</v>
      </c>
      <c r="AG91" s="4">
        <v>0.55</v>
      </c>
      <c r="AH91" s="4">
        <f t="shared" si="64"/>
        <v>250</v>
      </c>
    </row>
    <row r="92" customFormat="1" spans="1:34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 t="shared" si="60"/>
        <v>14.5</v>
      </c>
      <c r="P92" s="7">
        <f t="shared" si="61"/>
        <v>4.83333333333333</v>
      </c>
      <c r="Q92" s="7">
        <f t="shared" si="62"/>
        <v>4.83333333333333</v>
      </c>
      <c r="R92" s="7">
        <f t="shared" si="63"/>
        <v>4.83333333333333</v>
      </c>
      <c r="S92" s="7">
        <v>0</v>
      </c>
      <c r="T92" s="7">
        <v>0</v>
      </c>
      <c r="U92" s="7">
        <f t="shared" si="53"/>
        <v>17.4</v>
      </c>
      <c r="V92" s="4">
        <v>1</v>
      </c>
      <c r="W92" s="7">
        <f t="shared" si="54"/>
        <v>29</v>
      </c>
      <c r="X92" s="4">
        <f t="shared" si="55"/>
        <v>420.5</v>
      </c>
      <c r="Y92" s="4">
        <f t="shared" si="56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7"/>
        <v>15225</v>
      </c>
      <c r="AE92" s="4">
        <f t="shared" si="58"/>
        <v>508</v>
      </c>
      <c r="AF92" s="4">
        <f t="shared" si="59"/>
        <v>279</v>
      </c>
      <c r="AG92" s="4">
        <v>0.55</v>
      </c>
      <c r="AH92" s="4">
        <f t="shared" si="64"/>
        <v>279</v>
      </c>
    </row>
    <row r="93" customFormat="1" spans="1:34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 t="shared" si="60"/>
        <v>15.5</v>
      </c>
      <c r="P93" s="7">
        <f t="shared" si="61"/>
        <v>5.16666666666667</v>
      </c>
      <c r="Q93" s="7">
        <f t="shared" si="62"/>
        <v>5.16666666666667</v>
      </c>
      <c r="R93" s="7">
        <f t="shared" si="63"/>
        <v>5.16666666666667</v>
      </c>
      <c r="S93" s="7">
        <v>0</v>
      </c>
      <c r="T93" s="7">
        <v>0</v>
      </c>
      <c r="U93" s="7">
        <f t="shared" si="53"/>
        <v>18.6</v>
      </c>
      <c r="V93" s="4">
        <v>1.1</v>
      </c>
      <c r="W93" s="7">
        <f t="shared" si="54"/>
        <v>31</v>
      </c>
      <c r="X93" s="4">
        <f t="shared" si="55"/>
        <v>890.96928221801</v>
      </c>
      <c r="Y93" s="4">
        <f t="shared" si="56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7"/>
        <v>16275</v>
      </c>
      <c r="AE93" s="4">
        <f t="shared" si="58"/>
        <v>448</v>
      </c>
      <c r="AF93" s="4">
        <f t="shared" si="59"/>
        <v>269</v>
      </c>
      <c r="AG93" s="4">
        <v>0.6</v>
      </c>
      <c r="AH93" s="4">
        <f t="shared" si="64"/>
        <v>269</v>
      </c>
    </row>
    <row r="94" customFormat="1" spans="1:34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 t="shared" si="60"/>
        <v>17</v>
      </c>
      <c r="P94" s="7">
        <f t="shared" si="61"/>
        <v>5.66666666666667</v>
      </c>
      <c r="Q94" s="7">
        <f t="shared" si="62"/>
        <v>5.66666666666667</v>
      </c>
      <c r="R94" s="7">
        <f t="shared" si="63"/>
        <v>5.66666666666667</v>
      </c>
      <c r="S94" s="7">
        <v>0</v>
      </c>
      <c r="T94" s="7">
        <v>0</v>
      </c>
      <c r="U94" s="7">
        <f t="shared" si="53"/>
        <v>20.4</v>
      </c>
      <c r="V94" s="4">
        <v>1.1</v>
      </c>
      <c r="W94" s="7">
        <f t="shared" si="54"/>
        <v>34</v>
      </c>
      <c r="X94" s="4">
        <f t="shared" si="55"/>
        <v>1091.74351848939</v>
      </c>
      <c r="Y94" s="4">
        <f t="shared" si="56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57"/>
        <v>17850</v>
      </c>
      <c r="AE94" s="4">
        <f t="shared" si="58"/>
        <v>655</v>
      </c>
      <c r="AF94" s="4">
        <f t="shared" si="59"/>
        <v>393</v>
      </c>
      <c r="AG94" s="4">
        <v>0.6</v>
      </c>
      <c r="AH94" s="4">
        <f t="shared" si="64"/>
        <v>393</v>
      </c>
    </row>
    <row r="95" customFormat="1" spans="1:34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 t="shared" si="60"/>
        <v>18</v>
      </c>
      <c r="P95" s="7">
        <f t="shared" si="61"/>
        <v>6</v>
      </c>
      <c r="Q95" s="7">
        <f t="shared" si="62"/>
        <v>6</v>
      </c>
      <c r="R95" s="7">
        <f t="shared" si="63"/>
        <v>6</v>
      </c>
      <c r="S95" s="7">
        <v>0</v>
      </c>
      <c r="T95" s="7">
        <v>0</v>
      </c>
      <c r="U95" s="7">
        <f t="shared" si="53"/>
        <v>21.6</v>
      </c>
      <c r="V95" s="4">
        <v>1.1</v>
      </c>
      <c r="W95" s="7">
        <f t="shared" si="54"/>
        <v>36</v>
      </c>
      <c r="X95" s="4">
        <f t="shared" si="55"/>
        <v>1238.03381363756</v>
      </c>
      <c r="Y95" s="4">
        <f t="shared" si="56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57"/>
        <v>18900</v>
      </c>
      <c r="AE95" s="4">
        <f t="shared" si="58"/>
        <v>693</v>
      </c>
      <c r="AF95" s="4">
        <f t="shared" si="59"/>
        <v>416</v>
      </c>
      <c r="AG95" s="4">
        <v>0.6</v>
      </c>
      <c r="AH95" s="4">
        <f t="shared" si="64"/>
        <v>416</v>
      </c>
    </row>
    <row r="96" customFormat="1" spans="1:34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 t="shared" si="60"/>
        <v>19.5</v>
      </c>
      <c r="P96" s="7">
        <f t="shared" si="61"/>
        <v>6.5</v>
      </c>
      <c r="Q96" s="7">
        <f t="shared" si="62"/>
        <v>6.5</v>
      </c>
      <c r="R96" s="7">
        <f t="shared" si="63"/>
        <v>6.5</v>
      </c>
      <c r="S96" s="7">
        <v>0</v>
      </c>
      <c r="T96" s="7">
        <v>0</v>
      </c>
      <c r="U96" s="7">
        <f t="shared" si="53"/>
        <v>23.4</v>
      </c>
      <c r="V96" s="4">
        <v>1.1</v>
      </c>
      <c r="W96" s="7">
        <f t="shared" si="54"/>
        <v>39</v>
      </c>
      <c r="X96" s="4">
        <f t="shared" si="55"/>
        <v>1476.41735033167</v>
      </c>
      <c r="Y96" s="4">
        <f t="shared" si="56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57"/>
        <v>20475</v>
      </c>
      <c r="AE96" s="4">
        <f t="shared" si="58"/>
        <v>751</v>
      </c>
      <c r="AF96" s="4">
        <f t="shared" si="59"/>
        <v>488</v>
      </c>
      <c r="AG96" s="4">
        <v>0.65</v>
      </c>
      <c r="AH96" s="4">
        <f t="shared" si="64"/>
        <v>488</v>
      </c>
    </row>
    <row r="97" customFormat="1" spans="1:34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 t="shared" si="60"/>
        <v>20.5</v>
      </c>
      <c r="P97" s="7">
        <f t="shared" si="61"/>
        <v>6.83333333333333</v>
      </c>
      <c r="Q97" s="7">
        <f t="shared" si="62"/>
        <v>6.83333333333333</v>
      </c>
      <c r="R97" s="7">
        <f t="shared" si="63"/>
        <v>6.83333333333333</v>
      </c>
      <c r="S97" s="7">
        <v>0</v>
      </c>
      <c r="T97" s="7">
        <v>0</v>
      </c>
      <c r="U97" s="7">
        <f t="shared" si="53"/>
        <v>24.6</v>
      </c>
      <c r="V97" s="4">
        <v>1.1</v>
      </c>
      <c r="W97" s="7">
        <f t="shared" si="54"/>
        <v>41</v>
      </c>
      <c r="X97" s="4">
        <f t="shared" si="55"/>
        <v>1648.13009440508</v>
      </c>
      <c r="Y97" s="4">
        <f t="shared" si="56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57"/>
        <v>21525</v>
      </c>
      <c r="AE97" s="4">
        <f t="shared" si="58"/>
        <v>789</v>
      </c>
      <c r="AF97" s="4">
        <f t="shared" si="59"/>
        <v>513</v>
      </c>
      <c r="AG97" s="4">
        <v>0.65</v>
      </c>
      <c r="AH97" s="4">
        <f t="shared" si="64"/>
        <v>513</v>
      </c>
    </row>
    <row r="98" customFormat="1" spans="1:34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 t="shared" si="60"/>
        <v>22</v>
      </c>
      <c r="P98" s="7">
        <f t="shared" si="61"/>
        <v>7.33333333333333</v>
      </c>
      <c r="Q98" s="7">
        <f t="shared" si="62"/>
        <v>7.33333333333333</v>
      </c>
      <c r="R98" s="7">
        <f t="shared" si="63"/>
        <v>7.33333333333333</v>
      </c>
      <c r="S98" s="7">
        <v>0</v>
      </c>
      <c r="T98" s="7">
        <v>0</v>
      </c>
      <c r="U98" s="7">
        <f t="shared" si="53"/>
        <v>26.4</v>
      </c>
      <c r="V98" s="4">
        <v>1.2</v>
      </c>
      <c r="W98" s="7">
        <f t="shared" si="54"/>
        <v>44</v>
      </c>
      <c r="X98" s="4">
        <f t="shared" si="55"/>
        <v>3828.69198180155</v>
      </c>
      <c r="Y98" s="4">
        <f t="shared" si="56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7"/>
        <v>23100</v>
      </c>
      <c r="AE98" s="4">
        <f t="shared" si="58"/>
        <v>693</v>
      </c>
      <c r="AF98" s="4">
        <f t="shared" si="59"/>
        <v>450</v>
      </c>
      <c r="AG98" s="4">
        <v>0.65</v>
      </c>
      <c r="AH98" s="4">
        <f t="shared" si="64"/>
        <v>450</v>
      </c>
    </row>
    <row r="99" spans="1:34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 t="shared" si="60"/>
        <v>23</v>
      </c>
      <c r="P99" s="7">
        <f t="shared" si="61"/>
        <v>7.66666666666667</v>
      </c>
      <c r="Q99" s="7">
        <f t="shared" si="62"/>
        <v>7.66666666666667</v>
      </c>
      <c r="R99" s="7">
        <f t="shared" si="63"/>
        <v>7.66666666666667</v>
      </c>
      <c r="S99" s="7">
        <v>0</v>
      </c>
      <c r="T99" s="7">
        <v>0</v>
      </c>
      <c r="U99" s="7">
        <f t="shared" si="53"/>
        <v>27.6</v>
      </c>
      <c r="V99" s="4">
        <v>1.2</v>
      </c>
      <c r="W99" s="7">
        <f t="shared" si="54"/>
        <v>46</v>
      </c>
      <c r="X99" s="4">
        <f t="shared" si="55"/>
        <v>4259.73714752957</v>
      </c>
      <c r="Y99" s="4">
        <f t="shared" si="56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7"/>
        <v>24150</v>
      </c>
      <c r="AE99" s="4">
        <f t="shared" si="58"/>
        <v>1449</v>
      </c>
      <c r="AF99" s="4">
        <f t="shared" si="59"/>
        <v>1014</v>
      </c>
      <c r="AG99" s="4">
        <v>0.7</v>
      </c>
      <c r="AH99" s="4">
        <f t="shared" si="64"/>
        <v>1014</v>
      </c>
    </row>
    <row r="100" spans="1:34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 t="shared" si="60"/>
        <v>24.5</v>
      </c>
      <c r="P100" s="7">
        <f t="shared" si="61"/>
        <v>8.16666666666667</v>
      </c>
      <c r="Q100" s="7">
        <f t="shared" si="62"/>
        <v>8.16666666666667</v>
      </c>
      <c r="R100" s="7">
        <f t="shared" si="63"/>
        <v>8.16666666666667</v>
      </c>
      <c r="S100" s="7">
        <v>0</v>
      </c>
      <c r="T100" s="7">
        <v>0</v>
      </c>
      <c r="U100" s="7">
        <f t="shared" si="53"/>
        <v>29.4</v>
      </c>
      <c r="V100" s="4">
        <v>1.2</v>
      </c>
      <c r="W100" s="7">
        <f t="shared" si="54"/>
        <v>49</v>
      </c>
      <c r="X100" s="4">
        <f t="shared" si="55"/>
        <v>4957.17895476192</v>
      </c>
      <c r="Y100" s="4">
        <f t="shared" si="56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7"/>
        <v>25725</v>
      </c>
      <c r="AE100" s="4">
        <f t="shared" si="58"/>
        <v>1544</v>
      </c>
      <c r="AF100" s="4">
        <f t="shared" si="59"/>
        <v>1080</v>
      </c>
      <c r="AG100" s="4">
        <v>0.7</v>
      </c>
      <c r="AH100" s="4">
        <f t="shared" si="64"/>
        <v>1080</v>
      </c>
    </row>
    <row r="101" spans="1:34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si="60"/>
        <v>25.5</v>
      </c>
      <c r="P101" s="7">
        <f t="shared" si="61"/>
        <v>8.5</v>
      </c>
      <c r="Q101" s="7">
        <f t="shared" si="62"/>
        <v>8.5</v>
      </c>
      <c r="R101" s="7">
        <f t="shared" si="63"/>
        <v>8.5</v>
      </c>
      <c r="S101" s="7">
        <v>0</v>
      </c>
      <c r="T101" s="7">
        <v>0</v>
      </c>
      <c r="U101" s="7">
        <f t="shared" si="53"/>
        <v>30.6</v>
      </c>
      <c r="V101" s="4">
        <v>1.2</v>
      </c>
      <c r="W101" s="7">
        <f t="shared" si="54"/>
        <v>51</v>
      </c>
      <c r="X101" s="4">
        <f t="shared" si="55"/>
        <v>5456.72952875299</v>
      </c>
      <c r="Y101" s="4">
        <f t="shared" si="56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7"/>
        <v>26775</v>
      </c>
      <c r="AE101" s="4">
        <f t="shared" si="58"/>
        <v>1607</v>
      </c>
      <c r="AF101" s="4">
        <f t="shared" si="59"/>
        <v>1205</v>
      </c>
      <c r="AG101" s="4">
        <v>0.75</v>
      </c>
      <c r="AH101" s="4">
        <f t="shared" si="64"/>
        <v>1205</v>
      </c>
    </row>
    <row r="102" spans="1:34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60"/>
        <v>27</v>
      </c>
      <c r="P102" s="7">
        <f t="shared" si="61"/>
        <v>9</v>
      </c>
      <c r="Q102" s="7">
        <f t="shared" si="62"/>
        <v>9</v>
      </c>
      <c r="R102" s="7">
        <f t="shared" si="63"/>
        <v>9</v>
      </c>
      <c r="S102" s="7">
        <v>0</v>
      </c>
      <c r="T102" s="7">
        <v>0</v>
      </c>
      <c r="U102" s="7">
        <f t="shared" si="53"/>
        <v>32.4</v>
      </c>
      <c r="V102" s="4">
        <v>1.2</v>
      </c>
      <c r="W102" s="7">
        <f t="shared" si="54"/>
        <v>54</v>
      </c>
      <c r="X102" s="4">
        <f t="shared" si="55"/>
        <v>6259.05876075439</v>
      </c>
      <c r="Y102" s="4">
        <f t="shared" si="56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7"/>
        <v>28350</v>
      </c>
      <c r="AE102" s="4">
        <f t="shared" si="58"/>
        <v>1701</v>
      </c>
      <c r="AF102" s="4">
        <f t="shared" si="59"/>
        <v>1276</v>
      </c>
      <c r="AG102" s="4">
        <v>0.75</v>
      </c>
      <c r="AH102" s="4">
        <f t="shared" si="64"/>
        <v>1276</v>
      </c>
    </row>
    <row r="103" spans="1:34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60"/>
        <v>28</v>
      </c>
      <c r="P103" s="7">
        <f t="shared" si="61"/>
        <v>9.33333333333333</v>
      </c>
      <c r="Q103" s="7">
        <f t="shared" si="62"/>
        <v>9.33333333333333</v>
      </c>
      <c r="R103" s="7">
        <f t="shared" si="63"/>
        <v>9.33333333333333</v>
      </c>
      <c r="S103" s="7">
        <v>0</v>
      </c>
      <c r="T103" s="7">
        <v>0</v>
      </c>
      <c r="U103" s="7">
        <f t="shared" si="53"/>
        <v>33.6</v>
      </c>
      <c r="V103" s="4">
        <v>1.3</v>
      </c>
      <c r="W103" s="7">
        <f t="shared" si="54"/>
        <v>56</v>
      </c>
      <c r="X103" s="4">
        <f t="shared" si="55"/>
        <v>14254.4306643417</v>
      </c>
      <c r="Y103" s="4">
        <f t="shared" si="56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7"/>
        <v>29400</v>
      </c>
      <c r="AE103" s="4">
        <f t="shared" si="58"/>
        <v>956</v>
      </c>
      <c r="AF103" s="4">
        <f t="shared" si="59"/>
        <v>764</v>
      </c>
      <c r="AG103" s="4">
        <v>0.8</v>
      </c>
      <c r="AH103" s="4">
        <f t="shared" si="64"/>
        <v>764</v>
      </c>
    </row>
    <row r="104" spans="1:34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4</v>
      </c>
      <c r="O104" s="4">
        <f t="shared" si="60"/>
        <v>29.5</v>
      </c>
      <c r="P104" s="7">
        <f t="shared" si="61"/>
        <v>9.83333333333333</v>
      </c>
      <c r="Q104" s="7">
        <f t="shared" si="62"/>
        <v>9.83333333333333</v>
      </c>
      <c r="R104" s="7">
        <f t="shared" si="63"/>
        <v>9.83333333333333</v>
      </c>
      <c r="S104" s="7">
        <v>0</v>
      </c>
      <c r="T104" s="7">
        <v>0</v>
      </c>
      <c r="U104" s="7">
        <f t="shared" si="53"/>
        <v>35.4</v>
      </c>
      <c r="V104" s="4">
        <v>1.3</v>
      </c>
      <c r="W104" s="7">
        <f t="shared" si="54"/>
        <v>59</v>
      </c>
      <c r="X104" s="4">
        <f t="shared" si="55"/>
        <v>16325.8663137191</v>
      </c>
      <c r="Y104" s="4">
        <f t="shared" si="56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7"/>
        <v>30975</v>
      </c>
      <c r="AE104" s="4">
        <f t="shared" si="58"/>
        <v>2013</v>
      </c>
      <c r="AF104" s="4">
        <f t="shared" si="59"/>
        <v>1611</v>
      </c>
      <c r="AG104" s="4">
        <v>0.8</v>
      </c>
      <c r="AH104" s="4">
        <f t="shared" si="64"/>
        <v>1611</v>
      </c>
    </row>
    <row r="105" spans="1:34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4</v>
      </c>
      <c r="O105" s="4">
        <f t="shared" si="60"/>
        <v>30.5</v>
      </c>
      <c r="P105" s="7">
        <f t="shared" si="61"/>
        <v>10.1666666666667</v>
      </c>
      <c r="Q105" s="7">
        <f t="shared" si="62"/>
        <v>10.1666666666667</v>
      </c>
      <c r="R105" s="7">
        <f t="shared" si="63"/>
        <v>10.1666666666667</v>
      </c>
      <c r="S105" s="7">
        <v>0</v>
      </c>
      <c r="T105" s="7">
        <v>0</v>
      </c>
      <c r="U105" s="7">
        <f t="shared" si="53"/>
        <v>36.6</v>
      </c>
      <c r="V105" s="4">
        <v>1.3</v>
      </c>
      <c r="W105" s="7">
        <f t="shared" si="54"/>
        <v>61</v>
      </c>
      <c r="X105" s="4">
        <f t="shared" si="55"/>
        <v>17804.0406285418</v>
      </c>
      <c r="Y105" s="4">
        <f t="shared" si="56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7"/>
        <v>32025</v>
      </c>
      <c r="AE105" s="4">
        <f t="shared" si="58"/>
        <v>2082</v>
      </c>
      <c r="AF105" s="4">
        <f t="shared" si="59"/>
        <v>1769</v>
      </c>
      <c r="AG105" s="4">
        <v>0.85</v>
      </c>
      <c r="AH105" s="4">
        <f t="shared" si="64"/>
        <v>1769</v>
      </c>
    </row>
    <row r="106" spans="1:34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4</v>
      </c>
      <c r="O106" s="4">
        <f t="shared" si="60"/>
        <v>32</v>
      </c>
      <c r="P106" s="7">
        <f t="shared" si="61"/>
        <v>10.6666666666667</v>
      </c>
      <c r="Q106" s="7">
        <f t="shared" si="62"/>
        <v>10.6666666666667</v>
      </c>
      <c r="R106" s="7">
        <f t="shared" si="63"/>
        <v>10.6666666666667</v>
      </c>
      <c r="S106" s="7">
        <v>0</v>
      </c>
      <c r="T106" s="7">
        <v>0</v>
      </c>
      <c r="U106" s="7">
        <f t="shared" si="53"/>
        <v>38.4</v>
      </c>
      <c r="V106" s="4">
        <v>1.3</v>
      </c>
      <c r="W106" s="7">
        <f t="shared" si="54"/>
        <v>64</v>
      </c>
      <c r="X106" s="4">
        <f t="shared" si="55"/>
        <v>20171.0700682431</v>
      </c>
      <c r="Y106" s="4">
        <f t="shared" si="56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7"/>
        <v>33600</v>
      </c>
      <c r="AE106" s="4">
        <f t="shared" si="58"/>
        <v>2184</v>
      </c>
      <c r="AF106" s="4">
        <f t="shared" si="59"/>
        <v>1856</v>
      </c>
      <c r="AG106" s="4">
        <v>0.85</v>
      </c>
      <c r="AH106" s="4">
        <f t="shared" si="64"/>
        <v>1856</v>
      </c>
    </row>
    <row r="107" spans="1:34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4</v>
      </c>
      <c r="O107" s="4">
        <f t="shared" si="60"/>
        <v>33</v>
      </c>
      <c r="P107" s="7">
        <f t="shared" si="61"/>
        <v>11</v>
      </c>
      <c r="Q107" s="7">
        <f t="shared" si="62"/>
        <v>11</v>
      </c>
      <c r="R107" s="7">
        <f t="shared" si="63"/>
        <v>11</v>
      </c>
      <c r="S107" s="7">
        <v>0</v>
      </c>
      <c r="T107" s="7">
        <v>0</v>
      </c>
      <c r="U107" s="7">
        <f t="shared" si="53"/>
        <v>39.6</v>
      </c>
      <c r="V107" s="4">
        <v>1.3</v>
      </c>
      <c r="W107" s="7">
        <f t="shared" si="54"/>
        <v>66</v>
      </c>
      <c r="X107" s="4">
        <f t="shared" si="55"/>
        <v>21851.197282074</v>
      </c>
      <c r="Y107" s="4">
        <f t="shared" si="56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7"/>
        <v>34650</v>
      </c>
      <c r="AE107" s="4">
        <f t="shared" si="58"/>
        <v>2252</v>
      </c>
      <c r="AF107" s="4">
        <f t="shared" si="59"/>
        <v>2027</v>
      </c>
      <c r="AG107" s="4">
        <v>0.9</v>
      </c>
      <c r="AH107" s="4">
        <f t="shared" si="64"/>
        <v>2027</v>
      </c>
    </row>
    <row r="108" spans="1:34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4</v>
      </c>
      <c r="O108" s="4">
        <f t="shared" si="60"/>
        <v>34.5</v>
      </c>
      <c r="P108" s="7">
        <f t="shared" si="61"/>
        <v>11.5</v>
      </c>
      <c r="Q108" s="7">
        <f t="shared" si="62"/>
        <v>11.5</v>
      </c>
      <c r="R108" s="7">
        <f t="shared" si="63"/>
        <v>11.5</v>
      </c>
      <c r="S108" s="7">
        <v>0</v>
      </c>
      <c r="T108" s="7">
        <v>0</v>
      </c>
      <c r="U108" s="7">
        <f t="shared" si="53"/>
        <v>41.4</v>
      </c>
      <c r="V108" s="4">
        <v>1.4</v>
      </c>
      <c r="W108" s="7">
        <f t="shared" si="54"/>
        <v>69</v>
      </c>
      <c r="X108" s="4">
        <f t="shared" si="55"/>
        <v>53374.7016109644</v>
      </c>
      <c r="Y108" s="4">
        <f t="shared" si="56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7"/>
        <v>36225</v>
      </c>
      <c r="AE108" s="4">
        <f t="shared" si="58"/>
        <v>1268</v>
      </c>
      <c r="AF108" s="4">
        <f t="shared" si="59"/>
        <v>1268</v>
      </c>
      <c r="AG108" s="4">
        <v>1</v>
      </c>
      <c r="AH108" s="4">
        <f t="shared" si="64"/>
        <v>1268</v>
      </c>
    </row>
    <row r="109" spans="15:16">
      <c r="O109" s="4"/>
      <c r="P109" s="4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11"/>
  <sheetViews>
    <sheetView workbookViewId="0">
      <selection activeCell="AK79" sqref="AK79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29" max="29" width="8.88888888888889" style="7"/>
    <col min="30" max="30" width="12.8888888888889"/>
    <col min="35" max="39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628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301</v>
      </c>
      <c r="Y1" s="7">
        <v>3</v>
      </c>
      <c r="Z1" s="4">
        <v>302</v>
      </c>
      <c r="AA1" s="7">
        <v>303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>ROUNDDOWN((B2-M2-R2)/$X$6,0)</f>
        <v>2</v>
      </c>
      <c r="D2" s="7">
        <v>0</v>
      </c>
      <c r="E2" s="7">
        <f t="shared" ref="E2:E11" si="0">INDEX($B$39:$B$49,MATCH(D2,$A$39:$A$49,0))</f>
        <v>1</v>
      </c>
      <c r="F2" s="7">
        <f t="shared" ref="F2:F33" si="1">ROUND(C2*$Y$6/100,0)</f>
        <v>2</v>
      </c>
      <c r="G2" s="7">
        <f t="shared" ref="G2:G11" si="2">E2*F2/2</f>
        <v>1</v>
      </c>
      <c r="H2" s="7">
        <v>1</v>
      </c>
      <c r="I2" s="7"/>
      <c r="J2" s="7"/>
      <c r="K2" s="7"/>
      <c r="L2" s="7"/>
      <c r="M2" s="7">
        <v>0</v>
      </c>
      <c r="N2" s="7">
        <f>IF(A2&lt;5,$X$1,IF(A2&gt;10,$AA$1,$Z$1))</f>
        <v>301</v>
      </c>
      <c r="O2" s="7">
        <v>15</v>
      </c>
      <c r="P2" s="7">
        <v>10001</v>
      </c>
      <c r="Q2" s="7">
        <v>1</v>
      </c>
      <c r="R2" s="7"/>
      <c r="S2" s="7">
        <f t="shared" ref="S2:S21" si="3">SUM(J2,Q2,,O2,L2)</f>
        <v>16</v>
      </c>
      <c r="T2" s="7"/>
      <c r="U2" s="7">
        <f t="shared" ref="U2:U21" si="4">SUM(J2,L2)+15</f>
        <v>15</v>
      </c>
      <c r="V2" s="7">
        <v>2</v>
      </c>
      <c r="W2" s="4" t="s">
        <v>577</v>
      </c>
      <c r="X2" s="8">
        <v>305</v>
      </c>
      <c r="Y2" s="4">
        <v>5</v>
      </c>
      <c r="AA2" s="7"/>
      <c r="AB2" s="4">
        <v>100</v>
      </c>
      <c r="AC2" s="7">
        <v>50</v>
      </c>
    </row>
    <row r="3" spans="1:27">
      <c r="A3" s="7">
        <v>2</v>
      </c>
      <c r="B3" s="7">
        <f>B2+$AB$2+20</f>
        <v>220</v>
      </c>
      <c r="C3" s="7">
        <f t="shared" ref="C3:C21" si="5">ROUNDDOWN((B3-M3-R3)/$X$6,0)</f>
        <v>5</v>
      </c>
      <c r="D3" s="7">
        <v>0</v>
      </c>
      <c r="E3" s="7">
        <f t="shared" si="0"/>
        <v>1</v>
      </c>
      <c r="F3" s="7">
        <f t="shared" si="1"/>
        <v>4</v>
      </c>
      <c r="G3" s="7">
        <f t="shared" si="2"/>
        <v>2</v>
      </c>
      <c r="H3" s="7">
        <v>1</v>
      </c>
      <c r="I3" s="7"/>
      <c r="J3" s="7"/>
      <c r="K3" s="7"/>
      <c r="L3" s="7"/>
      <c r="M3" s="7">
        <v>0</v>
      </c>
      <c r="N3" s="7">
        <f>IF(A3&lt;5,$X$1,IF(A3&gt;10,$AA$1,$Z$1))</f>
        <v>301</v>
      </c>
      <c r="O3" s="7">
        <v>15</v>
      </c>
      <c r="P3" s="7" t="str">
        <f>IF(H3=1,"",INDEX($X$1:$X$3,MATCH(H3,$V$1:$V$3,0)))</f>
        <v/>
      </c>
      <c r="Q3" s="7" t="str">
        <f>IF(H3=1,"",IF(H3=2,5,1))</f>
        <v/>
      </c>
      <c r="R3" s="7"/>
      <c r="S3" s="7">
        <f t="shared" si="3"/>
        <v>15</v>
      </c>
      <c r="T3" s="7"/>
      <c r="U3" s="7">
        <f t="shared" si="4"/>
        <v>15</v>
      </c>
      <c r="V3" s="7">
        <v>3</v>
      </c>
      <c r="W3" s="4" t="s">
        <v>578</v>
      </c>
      <c r="X3" s="8">
        <v>306</v>
      </c>
      <c r="Y3" s="7">
        <v>10</v>
      </c>
      <c r="AA3" s="7"/>
    </row>
    <row r="4" spans="1:27">
      <c r="A4" s="7">
        <v>3</v>
      </c>
      <c r="B4" s="7">
        <f>B3+$AB$2+20</f>
        <v>340</v>
      </c>
      <c r="C4" s="7">
        <f t="shared" si="5"/>
        <v>6</v>
      </c>
      <c r="D4" s="7">
        <v>1</v>
      </c>
      <c r="E4" s="7">
        <f t="shared" si="0"/>
        <v>1.5</v>
      </c>
      <c r="F4" s="7">
        <f t="shared" si="1"/>
        <v>5</v>
      </c>
      <c r="G4" s="7">
        <f t="shared" si="2"/>
        <v>3.75</v>
      </c>
      <c r="H4" s="7">
        <v>1</v>
      </c>
      <c r="I4" s="7"/>
      <c r="J4" s="7"/>
      <c r="K4" s="7"/>
      <c r="L4" s="7"/>
      <c r="M4" s="7">
        <v>0</v>
      </c>
      <c r="N4" s="7">
        <f>IF(A4&lt;5,$X$1,IF(A4&gt;10,$AA$1,$Z$1))</f>
        <v>301</v>
      </c>
      <c r="O4" s="7">
        <v>15</v>
      </c>
      <c r="P4" s="7"/>
      <c r="Q4" s="7"/>
      <c r="R4" s="7">
        <v>80</v>
      </c>
      <c r="S4" s="7">
        <f t="shared" si="3"/>
        <v>15</v>
      </c>
      <c r="T4" s="7"/>
      <c r="U4" s="7">
        <f t="shared" si="4"/>
        <v>15</v>
      </c>
      <c r="V4" s="7"/>
      <c r="W4" s="4"/>
      <c r="X4" s="4"/>
      <c r="Y4" s="4"/>
      <c r="AA4" s="7"/>
    </row>
    <row r="5" spans="1:27">
      <c r="A5" s="7">
        <v>4</v>
      </c>
      <c r="B5" s="7">
        <f>B4+$AB$2+20</f>
        <v>460</v>
      </c>
      <c r="C5" s="7">
        <f t="shared" si="5"/>
        <v>9</v>
      </c>
      <c r="D5" s="7">
        <v>1</v>
      </c>
      <c r="E5" s="7">
        <f t="shared" si="0"/>
        <v>1.5</v>
      </c>
      <c r="F5" s="7">
        <f t="shared" si="1"/>
        <v>7</v>
      </c>
      <c r="G5" s="7">
        <f t="shared" si="2"/>
        <v>5.25</v>
      </c>
      <c r="H5" s="7">
        <v>1</v>
      </c>
      <c r="I5" s="7"/>
      <c r="J5" s="7"/>
      <c r="K5" s="7"/>
      <c r="L5" s="7"/>
      <c r="M5" s="7">
        <v>20</v>
      </c>
      <c r="N5" s="7">
        <f>IF(A5&lt;5,$X$1,IF(A5&gt;10,$AA$1,$Z$1))</f>
        <v>301</v>
      </c>
      <c r="O5" s="7">
        <v>15</v>
      </c>
      <c r="P5" s="7"/>
      <c r="Q5" s="7"/>
      <c r="R5" s="7">
        <v>80</v>
      </c>
      <c r="S5" s="7">
        <f t="shared" si="3"/>
        <v>15</v>
      </c>
      <c r="T5" s="7"/>
      <c r="U5" s="7">
        <f t="shared" si="4"/>
        <v>15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B5+$AB$2+20</f>
        <v>580</v>
      </c>
      <c r="C6" s="7">
        <f t="shared" si="5"/>
        <v>11</v>
      </c>
      <c r="D6" s="7">
        <v>2</v>
      </c>
      <c r="E6" s="7">
        <f t="shared" si="0"/>
        <v>2.25</v>
      </c>
      <c r="F6" s="7">
        <f t="shared" si="1"/>
        <v>9</v>
      </c>
      <c r="G6" s="7">
        <f t="shared" si="2"/>
        <v>10.125</v>
      </c>
      <c r="H6" s="7">
        <v>2</v>
      </c>
      <c r="I6" s="7"/>
      <c r="J6" s="7"/>
      <c r="K6" s="7"/>
      <c r="L6" s="7"/>
      <c r="M6" s="7">
        <v>40</v>
      </c>
      <c r="N6" s="7">
        <f>IF(A6&lt;5,$X$1,IF(A6&gt;10,$AA$1,$Z$1))</f>
        <v>302</v>
      </c>
      <c r="O6" s="7">
        <v>15</v>
      </c>
      <c r="P6" s="7"/>
      <c r="Q6" s="7"/>
      <c r="R6" s="7">
        <v>80</v>
      </c>
      <c r="S6" s="7">
        <f t="shared" si="3"/>
        <v>15</v>
      </c>
      <c r="T6" s="7"/>
      <c r="U6" s="7">
        <f t="shared" si="4"/>
        <v>15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6">ROUND(85*Y6/100,0)</f>
        <v>68</v>
      </c>
      <c r="AA6" s="7">
        <f t="shared" ref="AA6:AA10" si="7">ROUND($W$13*Y6/100,0)</f>
        <v>48</v>
      </c>
    </row>
    <row r="7" spans="1:27">
      <c r="A7" s="7">
        <v>6</v>
      </c>
      <c r="B7" s="7">
        <f>B6+$AB$2+20</f>
        <v>700</v>
      </c>
      <c r="C7" s="7">
        <f t="shared" si="5"/>
        <v>12</v>
      </c>
      <c r="D7" s="7">
        <v>2</v>
      </c>
      <c r="E7" s="7">
        <f t="shared" si="0"/>
        <v>2.25</v>
      </c>
      <c r="F7" s="7">
        <f t="shared" si="1"/>
        <v>10</v>
      </c>
      <c r="G7" s="7">
        <f t="shared" si="2"/>
        <v>11.25</v>
      </c>
      <c r="H7" s="7">
        <v>1</v>
      </c>
      <c r="I7" s="7"/>
      <c r="J7" s="7"/>
      <c r="K7" s="7"/>
      <c r="L7" s="7"/>
      <c r="M7" s="7">
        <v>60</v>
      </c>
      <c r="N7" s="7">
        <f>IF(A7&lt;5,$X$1,IF(A7&gt;10,$AA$1,$Z$1))</f>
        <v>302</v>
      </c>
      <c r="O7" s="7">
        <v>15</v>
      </c>
      <c r="P7" s="7"/>
      <c r="Q7" s="7"/>
      <c r="R7" s="7">
        <f>R4+80</f>
        <v>160</v>
      </c>
      <c r="S7" s="7">
        <f t="shared" si="3"/>
        <v>15</v>
      </c>
      <c r="T7" s="7"/>
      <c r="U7" s="7">
        <f t="shared" si="4"/>
        <v>15</v>
      </c>
      <c r="V7" s="7">
        <v>2</v>
      </c>
      <c r="W7" s="7" t="s">
        <v>583</v>
      </c>
      <c r="X7" s="7">
        <v>90</v>
      </c>
      <c r="Y7" s="4">
        <v>3</v>
      </c>
      <c r="Z7" s="7">
        <f t="shared" si="6"/>
        <v>3</v>
      </c>
      <c r="AA7" s="7">
        <f t="shared" si="7"/>
        <v>2</v>
      </c>
    </row>
    <row r="8" spans="1:27">
      <c r="A8" s="7">
        <v>7</v>
      </c>
      <c r="B8" s="7">
        <f>B7+$AB$2+20</f>
        <v>820</v>
      </c>
      <c r="C8" s="7">
        <f t="shared" si="5"/>
        <v>14</v>
      </c>
      <c r="D8" s="7">
        <v>3</v>
      </c>
      <c r="E8" s="7">
        <f t="shared" si="0"/>
        <v>3</v>
      </c>
      <c r="F8" s="7">
        <f t="shared" si="1"/>
        <v>11</v>
      </c>
      <c r="G8" s="7">
        <f t="shared" si="2"/>
        <v>16.5</v>
      </c>
      <c r="H8" s="7">
        <v>1</v>
      </c>
      <c r="I8" s="7"/>
      <c r="J8" s="7"/>
      <c r="K8" s="7"/>
      <c r="L8" s="7"/>
      <c r="M8" s="7">
        <v>80</v>
      </c>
      <c r="N8" s="7">
        <f>IF(A8&lt;5,$X$1,IF(A8&gt;10,$AA$1,$Z$1))</f>
        <v>302</v>
      </c>
      <c r="O8" s="7">
        <v>15</v>
      </c>
      <c r="P8" s="7"/>
      <c r="Q8" s="7"/>
      <c r="R8" s="7">
        <f t="shared" ref="R8:R21" si="8">R5+80</f>
        <v>160</v>
      </c>
      <c r="S8" s="7">
        <f t="shared" si="3"/>
        <v>15</v>
      </c>
      <c r="T8" s="7"/>
      <c r="U8" s="7">
        <f t="shared" si="4"/>
        <v>15</v>
      </c>
      <c r="V8" s="7">
        <v>3</v>
      </c>
      <c r="W8" s="7" t="s">
        <v>584</v>
      </c>
      <c r="X8" s="7">
        <v>50</v>
      </c>
      <c r="Y8" s="4">
        <v>3</v>
      </c>
      <c r="Z8" s="7">
        <f t="shared" si="6"/>
        <v>3</v>
      </c>
      <c r="AA8" s="7">
        <f t="shared" si="7"/>
        <v>2</v>
      </c>
    </row>
    <row r="9" spans="1:27">
      <c r="A9" s="7">
        <v>8</v>
      </c>
      <c r="B9" s="7">
        <f>B8+$AB$2+20</f>
        <v>940</v>
      </c>
      <c r="C9" s="7">
        <f t="shared" si="5"/>
        <v>16</v>
      </c>
      <c r="D9" s="7">
        <v>3</v>
      </c>
      <c r="E9" s="7">
        <f t="shared" si="0"/>
        <v>3</v>
      </c>
      <c r="F9" s="7">
        <f t="shared" si="1"/>
        <v>13</v>
      </c>
      <c r="G9" s="7">
        <f t="shared" si="2"/>
        <v>19.5</v>
      </c>
      <c r="H9" s="7">
        <v>1</v>
      </c>
      <c r="I9" s="7"/>
      <c r="J9" s="7"/>
      <c r="K9" s="7"/>
      <c r="L9" s="7"/>
      <c r="M9" s="7">
        <v>110</v>
      </c>
      <c r="N9" s="7">
        <f>IF(A9&lt;5,$X$1,IF(A9&gt;10,$AA$1,$Z$1))</f>
        <v>302</v>
      </c>
      <c r="O9" s="7">
        <v>15</v>
      </c>
      <c r="P9" s="7"/>
      <c r="Q9" s="7"/>
      <c r="R9" s="7">
        <f t="shared" si="8"/>
        <v>160</v>
      </c>
      <c r="S9" s="7">
        <f t="shared" si="3"/>
        <v>15</v>
      </c>
      <c r="T9" s="7"/>
      <c r="U9" s="7">
        <f t="shared" si="4"/>
        <v>15</v>
      </c>
      <c r="V9" s="7">
        <v>4</v>
      </c>
      <c r="W9" s="7" t="s">
        <v>585</v>
      </c>
      <c r="X9" s="7">
        <v>35</v>
      </c>
      <c r="Y9" s="4">
        <v>6</v>
      </c>
      <c r="Z9" s="7">
        <f t="shared" si="6"/>
        <v>5</v>
      </c>
      <c r="AA9" s="7">
        <f t="shared" si="7"/>
        <v>4</v>
      </c>
    </row>
    <row r="10" spans="1:27">
      <c r="A10" s="7">
        <v>9</v>
      </c>
      <c r="B10" s="7">
        <f>B9+$AB$2+20</f>
        <v>1060</v>
      </c>
      <c r="C10" s="7">
        <f t="shared" si="5"/>
        <v>17</v>
      </c>
      <c r="D10" s="7">
        <v>4</v>
      </c>
      <c r="E10" s="7">
        <f t="shared" si="0"/>
        <v>3.75</v>
      </c>
      <c r="F10" s="7">
        <f t="shared" si="1"/>
        <v>14</v>
      </c>
      <c r="G10" s="7">
        <f t="shared" si="2"/>
        <v>26.25</v>
      </c>
      <c r="H10" s="7">
        <v>1</v>
      </c>
      <c r="I10" s="7"/>
      <c r="J10" s="7"/>
      <c r="K10" s="7"/>
      <c r="L10" s="7"/>
      <c r="M10" s="7">
        <v>140</v>
      </c>
      <c r="N10" s="7">
        <f>IF(A10&lt;5,$X$1,IF(A10&gt;10,$AA$1,$Z$1))</f>
        <v>302</v>
      </c>
      <c r="O10" s="7">
        <v>15</v>
      </c>
      <c r="P10" s="7"/>
      <c r="Q10" s="7"/>
      <c r="R10" s="7">
        <f t="shared" si="8"/>
        <v>240</v>
      </c>
      <c r="S10" s="7">
        <f t="shared" si="3"/>
        <v>15</v>
      </c>
      <c r="T10" s="7"/>
      <c r="U10" s="7">
        <f t="shared" si="4"/>
        <v>15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6"/>
        <v>7</v>
      </c>
      <c r="AA10" s="7">
        <f t="shared" si="7"/>
        <v>5</v>
      </c>
    </row>
    <row r="11" spans="1:27">
      <c r="A11" s="7">
        <v>10</v>
      </c>
      <c r="B11" s="7">
        <f>B10+$AB$2+20</f>
        <v>1180</v>
      </c>
      <c r="C11" s="7">
        <f t="shared" si="5"/>
        <v>19</v>
      </c>
      <c r="D11" s="7">
        <v>6</v>
      </c>
      <c r="E11" s="7">
        <f t="shared" si="0"/>
        <v>5</v>
      </c>
      <c r="F11" s="7">
        <f t="shared" si="1"/>
        <v>15</v>
      </c>
      <c r="G11" s="7">
        <f t="shared" si="2"/>
        <v>37.5</v>
      </c>
      <c r="H11" s="7">
        <v>3</v>
      </c>
      <c r="I11" s="7"/>
      <c r="J11" s="7"/>
      <c r="K11" s="7"/>
      <c r="L11" s="7"/>
      <c r="M11" s="7">
        <v>180</v>
      </c>
      <c r="N11" s="7">
        <f>IF(A11&lt;5,$X$1,IF(A11&gt;10,$AA$1,$Z$1))</f>
        <v>302</v>
      </c>
      <c r="O11" s="7">
        <v>15</v>
      </c>
      <c r="P11" s="7"/>
      <c r="Q11" s="7"/>
      <c r="R11" s="7">
        <f t="shared" si="8"/>
        <v>240</v>
      </c>
      <c r="S11" s="7">
        <f t="shared" si="3"/>
        <v>15</v>
      </c>
      <c r="T11" s="7"/>
      <c r="U11" s="7">
        <f t="shared" si="4"/>
        <v>15</v>
      </c>
      <c r="V11" s="7"/>
      <c r="Y11" s="4"/>
      <c r="AA11" s="7"/>
    </row>
    <row r="12" spans="1:27">
      <c r="A12" s="7">
        <v>11</v>
      </c>
      <c r="B12" s="7">
        <f>B11+$AB$2+20</f>
        <v>1300</v>
      </c>
      <c r="C12" s="7">
        <f t="shared" si="5"/>
        <v>21</v>
      </c>
      <c r="D12" s="7">
        <v>5</v>
      </c>
      <c r="E12" s="7"/>
      <c r="F12" s="7">
        <f t="shared" si="1"/>
        <v>17</v>
      </c>
      <c r="G12" s="7">
        <f t="shared" ref="G12:G14" si="9">($G$15-$G$11)/4+G11</f>
        <v>44.325</v>
      </c>
      <c r="H12" s="7">
        <v>1</v>
      </c>
      <c r="I12" s="7"/>
      <c r="J12" s="7"/>
      <c r="K12" s="7"/>
      <c r="L12" s="7"/>
      <c r="M12" s="7">
        <v>220</v>
      </c>
      <c r="N12" s="7">
        <f>IF(A12&lt;5,$X$1,IF(A12&gt;10,$AA$1,$Z$1))</f>
        <v>303</v>
      </c>
      <c r="O12" s="7">
        <v>20</v>
      </c>
      <c r="P12" s="7"/>
      <c r="Q12" s="7"/>
      <c r="R12" s="7">
        <f t="shared" si="8"/>
        <v>240</v>
      </c>
      <c r="S12" s="7">
        <f t="shared" si="3"/>
        <v>20</v>
      </c>
      <c r="T12" s="7"/>
      <c r="U12" s="7">
        <f t="shared" si="4"/>
        <v>15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>B12+$AB$2+20</f>
        <v>1420</v>
      </c>
      <c r="C13" s="7">
        <f t="shared" si="5"/>
        <v>20</v>
      </c>
      <c r="D13" s="7">
        <v>8</v>
      </c>
      <c r="E13" s="7"/>
      <c r="F13" s="7">
        <f t="shared" si="1"/>
        <v>16</v>
      </c>
      <c r="G13" s="7">
        <f t="shared" si="9"/>
        <v>51.15</v>
      </c>
      <c r="H13" s="7">
        <v>1</v>
      </c>
      <c r="I13" s="7"/>
      <c r="J13" s="7"/>
      <c r="K13" s="7"/>
      <c r="L13" s="7"/>
      <c r="M13" s="7">
        <v>270</v>
      </c>
      <c r="N13" s="7">
        <f>IF(A13&lt;5,$X$1,IF(A13&gt;10,$AA$1,$Z$1))</f>
        <v>303</v>
      </c>
      <c r="O13" s="7">
        <v>20</v>
      </c>
      <c r="P13" s="7"/>
      <c r="Q13" s="7"/>
      <c r="R13" s="7">
        <f t="shared" si="8"/>
        <v>320</v>
      </c>
      <c r="S13" s="7">
        <f t="shared" si="3"/>
        <v>20</v>
      </c>
      <c r="T13" s="7"/>
      <c r="U13" s="7">
        <f t="shared" si="4"/>
        <v>15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>B13+$AB$2+20</f>
        <v>1540</v>
      </c>
      <c r="C14" s="7">
        <f t="shared" si="5"/>
        <v>22</v>
      </c>
      <c r="D14" s="7">
        <v>9</v>
      </c>
      <c r="E14" s="7"/>
      <c r="F14" s="7">
        <f t="shared" si="1"/>
        <v>18</v>
      </c>
      <c r="G14" s="7">
        <f t="shared" si="9"/>
        <v>57.975</v>
      </c>
      <c r="H14" s="7">
        <v>1</v>
      </c>
      <c r="I14" s="7"/>
      <c r="J14" s="7"/>
      <c r="K14" s="7"/>
      <c r="L14" s="7"/>
      <c r="M14" s="7">
        <v>320</v>
      </c>
      <c r="N14" s="7">
        <f>IF(A14&lt;5,$X$1,IF(A14&gt;10,$AA$1,$Z$1))</f>
        <v>303</v>
      </c>
      <c r="O14" s="7">
        <v>20</v>
      </c>
      <c r="P14" s="7"/>
      <c r="Q14" s="7"/>
      <c r="R14" s="7">
        <f t="shared" si="8"/>
        <v>320</v>
      </c>
      <c r="S14" s="7">
        <f t="shared" si="3"/>
        <v>20</v>
      </c>
      <c r="T14" s="7"/>
      <c r="U14" s="7">
        <f t="shared" si="4"/>
        <v>15</v>
      </c>
      <c r="V14" s="7"/>
      <c r="Y14" s="4"/>
      <c r="AA14" s="7"/>
    </row>
    <row r="15" spans="1:27">
      <c r="A15" s="7">
        <v>14</v>
      </c>
      <c r="B15" s="7">
        <f>B14+$AB$2+20</f>
        <v>1660</v>
      </c>
      <c r="C15" s="7">
        <f t="shared" si="5"/>
        <v>24</v>
      </c>
      <c r="D15" s="7">
        <v>10</v>
      </c>
      <c r="E15" s="7"/>
      <c r="F15" s="7">
        <f t="shared" si="1"/>
        <v>19</v>
      </c>
      <c r="G15" s="7">
        <f>G31*0.2</f>
        <v>64.8</v>
      </c>
      <c r="H15" s="7">
        <v>1</v>
      </c>
      <c r="I15" s="7"/>
      <c r="J15" s="7"/>
      <c r="K15" s="7"/>
      <c r="L15" s="7"/>
      <c r="M15" s="7">
        <v>370</v>
      </c>
      <c r="N15" s="7">
        <f>IF(A15&lt;5,$X$1,IF(A15&gt;10,$AA$1,$Z$1))</f>
        <v>303</v>
      </c>
      <c r="O15" s="7">
        <v>20</v>
      </c>
      <c r="P15" s="7"/>
      <c r="Q15" s="7"/>
      <c r="R15" s="7">
        <f t="shared" si="8"/>
        <v>320</v>
      </c>
      <c r="S15" s="7">
        <f t="shared" si="3"/>
        <v>20</v>
      </c>
      <c r="T15" s="7"/>
      <c r="U15" s="7">
        <f t="shared" si="4"/>
        <v>15</v>
      </c>
      <c r="V15" s="7"/>
      <c r="Y15" s="4"/>
      <c r="AA15" s="7"/>
    </row>
    <row r="16" spans="1:27">
      <c r="A16" s="7">
        <v>15</v>
      </c>
      <c r="B16" s="7">
        <f>B15+$AB$2+20</f>
        <v>1780</v>
      </c>
      <c r="C16" s="7">
        <f t="shared" si="5"/>
        <v>24</v>
      </c>
      <c r="D16" s="7">
        <v>11</v>
      </c>
      <c r="E16" s="7"/>
      <c r="F16" s="7">
        <f t="shared" si="1"/>
        <v>19</v>
      </c>
      <c r="G16" s="7">
        <f t="shared" ref="G16:G19" si="10">($G$20-$G$15)/5+G15</f>
        <v>77.76</v>
      </c>
      <c r="H16" s="7">
        <v>2</v>
      </c>
      <c r="I16" s="7"/>
      <c r="J16" s="7"/>
      <c r="K16" s="7"/>
      <c r="L16" s="7"/>
      <c r="M16" s="7">
        <v>420</v>
      </c>
      <c r="N16" s="7">
        <f>IF(A16&lt;5,$X$1,IF(A16&gt;10,$AA$1,$Z$1))</f>
        <v>303</v>
      </c>
      <c r="O16" s="7">
        <v>20</v>
      </c>
      <c r="P16" s="7"/>
      <c r="Q16" s="7"/>
      <c r="R16" s="7">
        <f t="shared" si="8"/>
        <v>400</v>
      </c>
      <c r="S16" s="7">
        <f t="shared" si="3"/>
        <v>20</v>
      </c>
      <c r="T16" s="7"/>
      <c r="U16" s="7">
        <f t="shared" si="4"/>
        <v>15</v>
      </c>
      <c r="V16" s="7"/>
      <c r="Y16" s="4"/>
      <c r="AA16" s="7"/>
    </row>
    <row r="17" spans="1:27">
      <c r="A17" s="7">
        <v>16</v>
      </c>
      <c r="B17" s="7">
        <f>B16+$AB$2+20</f>
        <v>1900</v>
      </c>
      <c r="C17" s="7">
        <f t="shared" si="5"/>
        <v>25</v>
      </c>
      <c r="D17" s="7">
        <v>12</v>
      </c>
      <c r="E17" s="7"/>
      <c r="F17" s="7">
        <f t="shared" si="1"/>
        <v>20</v>
      </c>
      <c r="G17" s="7">
        <f t="shared" si="10"/>
        <v>90.72</v>
      </c>
      <c r="H17" s="7">
        <v>1</v>
      </c>
      <c r="I17" s="7"/>
      <c r="J17" s="7"/>
      <c r="K17" s="7"/>
      <c r="L17" s="7"/>
      <c r="M17" s="7">
        <v>470</v>
      </c>
      <c r="N17" s="7">
        <f>IF(A17&lt;5,$X$1,IF(A17&gt;10,$AA$1,$Z$1))</f>
        <v>303</v>
      </c>
      <c r="O17" s="7">
        <v>20</v>
      </c>
      <c r="P17" s="7"/>
      <c r="Q17" s="7"/>
      <c r="R17" s="7">
        <f t="shared" si="8"/>
        <v>400</v>
      </c>
      <c r="S17" s="7">
        <f t="shared" si="3"/>
        <v>20</v>
      </c>
      <c r="T17" s="7"/>
      <c r="U17" s="7">
        <f t="shared" si="4"/>
        <v>15</v>
      </c>
      <c r="V17" s="7"/>
      <c r="Y17" s="4"/>
      <c r="AA17" s="7"/>
    </row>
    <row r="18" spans="1:27">
      <c r="A18" s="7">
        <v>17</v>
      </c>
      <c r="B18" s="7">
        <f>B17+$AB$2+20</f>
        <v>2020</v>
      </c>
      <c r="C18" s="7">
        <f t="shared" si="5"/>
        <v>27</v>
      </c>
      <c r="D18" s="7">
        <v>13</v>
      </c>
      <c r="E18" s="7"/>
      <c r="F18" s="7">
        <f t="shared" si="1"/>
        <v>22</v>
      </c>
      <c r="G18" s="7">
        <f t="shared" si="10"/>
        <v>103.68</v>
      </c>
      <c r="H18" s="7">
        <v>1</v>
      </c>
      <c r="I18" s="7"/>
      <c r="J18" s="7"/>
      <c r="K18" s="7"/>
      <c r="L18" s="7"/>
      <c r="M18" s="7">
        <v>520</v>
      </c>
      <c r="N18" s="7">
        <f>IF(A18&lt;5,$X$1,IF(A18&gt;10,$AA$1,$Z$1))</f>
        <v>303</v>
      </c>
      <c r="O18" s="7">
        <v>20</v>
      </c>
      <c r="P18" s="7"/>
      <c r="Q18" s="7"/>
      <c r="R18" s="7">
        <f t="shared" si="8"/>
        <v>400</v>
      </c>
      <c r="S18" s="7">
        <f t="shared" si="3"/>
        <v>20</v>
      </c>
      <c r="T18" s="7"/>
      <c r="U18" s="7">
        <f t="shared" si="4"/>
        <v>15</v>
      </c>
      <c r="V18" s="7"/>
      <c r="Y18" s="4"/>
      <c r="AA18" s="7"/>
    </row>
    <row r="19" spans="1:27">
      <c r="A19" s="7">
        <v>18</v>
      </c>
      <c r="B19" s="7">
        <f>B18+$AB$2+20</f>
        <v>2140</v>
      </c>
      <c r="C19" s="7">
        <f t="shared" si="5"/>
        <v>27</v>
      </c>
      <c r="D19" s="7">
        <v>14</v>
      </c>
      <c r="E19" s="7"/>
      <c r="F19" s="7">
        <f t="shared" si="1"/>
        <v>22</v>
      </c>
      <c r="G19" s="7">
        <f t="shared" si="10"/>
        <v>116.64</v>
      </c>
      <c r="H19" s="7">
        <v>1</v>
      </c>
      <c r="I19" s="7"/>
      <c r="J19" s="7"/>
      <c r="K19" s="7"/>
      <c r="L19" s="7"/>
      <c r="M19" s="7">
        <v>570</v>
      </c>
      <c r="N19" s="7">
        <f>IF(A19&lt;5,$X$1,IF(A19&gt;10,$AA$1,$Z$1))</f>
        <v>303</v>
      </c>
      <c r="O19" s="7">
        <v>20</v>
      </c>
      <c r="P19" s="7"/>
      <c r="Q19" s="7"/>
      <c r="R19" s="7">
        <f t="shared" si="8"/>
        <v>480</v>
      </c>
      <c r="S19" s="7">
        <f t="shared" si="3"/>
        <v>20</v>
      </c>
      <c r="T19" s="7"/>
      <c r="U19" s="7">
        <f t="shared" si="4"/>
        <v>15</v>
      </c>
      <c r="V19" s="7"/>
      <c r="Y19" s="4"/>
      <c r="AA19" s="7"/>
    </row>
    <row r="20" spans="1:27">
      <c r="A20" s="7">
        <v>19</v>
      </c>
      <c r="B20" s="7">
        <f>B19+$AB$2+20</f>
        <v>2260</v>
      </c>
      <c r="C20" s="7">
        <f t="shared" si="5"/>
        <v>29</v>
      </c>
      <c r="D20" s="7">
        <v>15</v>
      </c>
      <c r="E20" s="7"/>
      <c r="F20" s="7">
        <f t="shared" si="1"/>
        <v>23</v>
      </c>
      <c r="G20" s="7">
        <f>G31*0.4</f>
        <v>129.6</v>
      </c>
      <c r="H20" s="7">
        <v>1</v>
      </c>
      <c r="I20" s="7"/>
      <c r="J20" s="7"/>
      <c r="K20" s="7"/>
      <c r="L20" s="7"/>
      <c r="M20" s="7">
        <v>620</v>
      </c>
      <c r="N20" s="7">
        <f>IF(A20&lt;5,$X$1,IF(A20&gt;10,$AA$1,$Z$1))</f>
        <v>303</v>
      </c>
      <c r="O20" s="7">
        <v>20</v>
      </c>
      <c r="P20" s="7"/>
      <c r="Q20" s="7"/>
      <c r="R20" s="7">
        <f t="shared" si="8"/>
        <v>480</v>
      </c>
      <c r="S20" s="7">
        <f t="shared" si="3"/>
        <v>20</v>
      </c>
      <c r="T20" s="7"/>
      <c r="U20" s="7">
        <f t="shared" si="4"/>
        <v>15</v>
      </c>
      <c r="V20" s="7"/>
      <c r="Y20" s="4"/>
      <c r="AA20" s="7"/>
    </row>
    <row r="21" spans="1:27">
      <c r="A21" s="7">
        <v>20</v>
      </c>
      <c r="B21" s="7">
        <f>B20+$AB$2+40</f>
        <v>2400</v>
      </c>
      <c r="C21" s="7">
        <f t="shared" si="5"/>
        <v>31</v>
      </c>
      <c r="D21" s="7">
        <v>16</v>
      </c>
      <c r="E21" s="7"/>
      <c r="F21" s="7">
        <f t="shared" si="1"/>
        <v>25</v>
      </c>
      <c r="G21" s="7">
        <f t="shared" ref="G21:G24" si="11">($G$25-$G$20)/5+G20</f>
        <v>142.56</v>
      </c>
      <c r="H21" s="7">
        <v>3</v>
      </c>
      <c r="I21" s="7"/>
      <c r="J21" s="7"/>
      <c r="K21" s="7"/>
      <c r="L21" s="7"/>
      <c r="M21" s="7">
        <v>670</v>
      </c>
      <c r="N21" s="7">
        <f>IF(A21&lt;5,$X$1,IF(A21&gt;10,$AA$1,$Z$1))</f>
        <v>303</v>
      </c>
      <c r="O21" s="7">
        <v>20</v>
      </c>
      <c r="P21" s="7"/>
      <c r="Q21" s="7"/>
      <c r="R21" s="7">
        <f t="shared" si="8"/>
        <v>480</v>
      </c>
      <c r="S21" s="7">
        <f t="shared" si="3"/>
        <v>20</v>
      </c>
      <c r="T21" s="7"/>
      <c r="U21" s="7">
        <f t="shared" si="4"/>
        <v>15</v>
      </c>
      <c r="V21" s="7"/>
      <c r="Y21" s="4"/>
      <c r="AA21" s="7"/>
    </row>
    <row r="22" spans="1:27">
      <c r="A22" s="7">
        <v>21</v>
      </c>
      <c r="B22" s="7"/>
      <c r="C22" s="7">
        <f t="shared" ref="C22:C33" si="12">ROUNDDOWN(B22/$X$6,0)</f>
        <v>0</v>
      </c>
      <c r="D22" s="7">
        <v>17</v>
      </c>
      <c r="E22" s="7"/>
      <c r="F22" s="7">
        <f t="shared" si="1"/>
        <v>0</v>
      </c>
      <c r="G22" s="7">
        <f t="shared" si="11"/>
        <v>155.52</v>
      </c>
      <c r="H22" s="7">
        <v>1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>
        <f t="shared" si="12"/>
        <v>0</v>
      </c>
      <c r="D23" s="7">
        <v>20</v>
      </c>
      <c r="E23" s="7"/>
      <c r="F23" s="7">
        <f t="shared" si="1"/>
        <v>0</v>
      </c>
      <c r="G23" s="7">
        <f t="shared" si="11"/>
        <v>168.48</v>
      </c>
      <c r="H23" s="7">
        <v>1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>
        <f t="shared" si="12"/>
        <v>0</v>
      </c>
      <c r="D24" s="7">
        <v>21</v>
      </c>
      <c r="E24" s="7"/>
      <c r="F24" s="7">
        <f t="shared" si="1"/>
        <v>0</v>
      </c>
      <c r="G24" s="7">
        <f t="shared" si="11"/>
        <v>181.44</v>
      </c>
      <c r="H24" s="7">
        <v>1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>
        <f t="shared" si="12"/>
        <v>0</v>
      </c>
      <c r="D25" s="7">
        <v>22</v>
      </c>
      <c r="E25" s="7"/>
      <c r="F25" s="7">
        <f t="shared" si="1"/>
        <v>0</v>
      </c>
      <c r="G25" s="7">
        <f>G31*0.6</f>
        <v>194.4</v>
      </c>
      <c r="H25" s="7">
        <v>1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>
        <f t="shared" si="12"/>
        <v>0</v>
      </c>
      <c r="D26" s="7">
        <v>23</v>
      </c>
      <c r="E26" s="7"/>
      <c r="F26" s="7">
        <f t="shared" si="1"/>
        <v>0</v>
      </c>
      <c r="G26" s="7">
        <f t="shared" ref="G26:G29" si="13">($G$30-$G$25)/5+G25</f>
        <v>210.6</v>
      </c>
      <c r="H26" s="7">
        <v>2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>
        <f t="shared" si="12"/>
        <v>0</v>
      </c>
      <c r="D27" s="7">
        <v>24</v>
      </c>
      <c r="E27" s="7"/>
      <c r="F27" s="7">
        <f t="shared" si="1"/>
        <v>0</v>
      </c>
      <c r="G27" s="7">
        <f t="shared" si="13"/>
        <v>226.8</v>
      </c>
      <c r="H27" s="7">
        <v>1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>
        <f t="shared" si="12"/>
        <v>0</v>
      </c>
      <c r="D28" s="7">
        <v>25</v>
      </c>
      <c r="E28" s="7"/>
      <c r="F28" s="7">
        <f t="shared" si="1"/>
        <v>0</v>
      </c>
      <c r="G28" s="7">
        <f t="shared" si="13"/>
        <v>243</v>
      </c>
      <c r="H28" s="7">
        <v>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>
        <f t="shared" si="12"/>
        <v>0</v>
      </c>
      <c r="D29" s="7">
        <v>26</v>
      </c>
      <c r="E29" s="7"/>
      <c r="F29" s="7">
        <f t="shared" si="1"/>
        <v>0</v>
      </c>
      <c r="G29" s="7">
        <f t="shared" si="13"/>
        <v>259.2</v>
      </c>
      <c r="H29" s="7">
        <v>1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>
        <f t="shared" si="12"/>
        <v>0</v>
      </c>
      <c r="D30" s="7">
        <v>27</v>
      </c>
      <c r="E30" s="7"/>
      <c r="F30" s="7">
        <f t="shared" si="1"/>
        <v>0</v>
      </c>
      <c r="G30" s="7">
        <f>G31*0.85</f>
        <v>275.4</v>
      </c>
      <c r="H30" s="7">
        <v>1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>
        <f t="shared" si="12"/>
        <v>0</v>
      </c>
      <c r="D31" s="7">
        <v>28</v>
      </c>
      <c r="E31" s="7"/>
      <c r="F31" s="7">
        <f t="shared" si="1"/>
        <v>0</v>
      </c>
      <c r="G31" s="7">
        <v>324</v>
      </c>
      <c r="H31" s="7">
        <v>3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>
        <f t="shared" si="12"/>
        <v>0</v>
      </c>
      <c r="D32" s="7"/>
      <c r="E32" s="7"/>
      <c r="F32" s="7">
        <f t="shared" si="1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300</v>
      </c>
      <c r="V32" s="7"/>
      <c r="Y32" s="4"/>
      <c r="AA32" s="7"/>
    </row>
    <row r="33" spans="1:27">
      <c r="A33" s="7"/>
      <c r="B33" s="7"/>
      <c r="C33" s="7">
        <f t="shared" si="12"/>
        <v>0</v>
      </c>
      <c r="D33" s="7"/>
      <c r="E33" s="7"/>
      <c r="F33" s="7">
        <f t="shared" si="1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/>
      </c>
      <c r="J40" s="7" t="str">
        <f t="shared" ref="J40:J69" si="15">IF(I40="","",_xlfn.TEXTJOIN(",",TRUE,I40,H40))</f>
        <v/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/>
      </c>
      <c r="N40" s="7" t="str">
        <f t="shared" si="14"/>
        <v>301,15</v>
      </c>
      <c r="O40" s="7" t="str">
        <f t="shared" ref="O40:O69" si="18">IF(N40="","",N40&amp;","&amp;H40)</f>
        <v>301,15,1</v>
      </c>
      <c r="P40" s="7" t="str">
        <f t="shared" ref="P40:P69" si="19">IF(P2="","",P2&amp;","&amp;Q2)</f>
        <v>10001,1</v>
      </c>
      <c r="Q40" s="7" t="str">
        <f t="shared" ref="Q40:Q69" si="20">IF(P40="","",P40&amp;","&amp;H40)</f>
        <v>10001,1,1</v>
      </c>
      <c r="R40" s="7" t="str">
        <f>_xlfn.TEXTJOIN(";",TRUE,Q40,O40)</f>
        <v>10001,1,1;301,15,1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1">IF(I3="","",_xlfn.TEXTJOIN(",",TRUE,I3:J3))</f>
        <v/>
      </c>
      <c r="J41" s="7" t="str">
        <f t="shared" si="15"/>
        <v/>
      </c>
      <c r="K41" s="7" t="str">
        <f t="shared" si="21"/>
        <v/>
      </c>
      <c r="L41" s="7" t="str">
        <f t="shared" si="16"/>
        <v/>
      </c>
      <c r="M41" s="7" t="str">
        <f t="shared" si="17"/>
        <v/>
      </c>
      <c r="N41" s="7" t="str">
        <f t="shared" si="21"/>
        <v>301,15</v>
      </c>
      <c r="O41" s="7" t="str">
        <f t="shared" si="18"/>
        <v>301,15,2</v>
      </c>
      <c r="P41" s="7" t="str">
        <f t="shared" si="19"/>
        <v/>
      </c>
      <c r="Q41" s="7" t="str">
        <f t="shared" si="20"/>
        <v/>
      </c>
      <c r="R41" s="7" t="str">
        <f t="shared" ref="R40:R69" si="22">_xlfn.TEXTJOIN(";",TRUE,O41,Q41)</f>
        <v>301,15,2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/>
      </c>
      <c r="J42" s="7" t="str">
        <f t="shared" si="15"/>
        <v/>
      </c>
      <c r="K42" s="7" t="str">
        <f t="shared" si="23"/>
        <v/>
      </c>
      <c r="L42" s="7" t="str">
        <f t="shared" si="16"/>
        <v/>
      </c>
      <c r="M42" s="7" t="str">
        <f t="shared" si="17"/>
        <v/>
      </c>
      <c r="N42" s="7" t="str">
        <f t="shared" si="23"/>
        <v>301,15</v>
      </c>
      <c r="O42" s="7" t="str">
        <f t="shared" si="18"/>
        <v>301,15,3</v>
      </c>
      <c r="P42" s="7" t="str">
        <f t="shared" si="19"/>
        <v/>
      </c>
      <c r="Q42" s="7" t="str">
        <f t="shared" si="20"/>
        <v/>
      </c>
      <c r="R42" s="7" t="str">
        <f t="shared" si="22"/>
        <v>301,15,3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/>
      </c>
      <c r="J43" s="7" t="str">
        <f t="shared" si="15"/>
        <v/>
      </c>
      <c r="K43" s="7" t="str">
        <f t="shared" si="24"/>
        <v/>
      </c>
      <c r="L43" s="7" t="str">
        <f t="shared" si="16"/>
        <v/>
      </c>
      <c r="M43" s="7" t="str">
        <f t="shared" si="17"/>
        <v/>
      </c>
      <c r="N43" s="7" t="str">
        <f t="shared" si="24"/>
        <v>301,15</v>
      </c>
      <c r="O43" s="7" t="str">
        <f t="shared" si="18"/>
        <v>301,15,4</v>
      </c>
      <c r="P43" s="7" t="str">
        <f t="shared" si="19"/>
        <v/>
      </c>
      <c r="Q43" s="7" t="str">
        <f t="shared" si="20"/>
        <v/>
      </c>
      <c r="R43" s="7" t="str">
        <f t="shared" si="22"/>
        <v>301,15,4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/>
      </c>
      <c r="J44" s="7" t="str">
        <f t="shared" si="15"/>
        <v/>
      </c>
      <c r="K44" s="7" t="str">
        <f t="shared" si="25"/>
        <v/>
      </c>
      <c r="L44" s="7" t="str">
        <f t="shared" si="16"/>
        <v/>
      </c>
      <c r="M44" s="7" t="str">
        <f t="shared" si="17"/>
        <v/>
      </c>
      <c r="N44" s="7" t="str">
        <f t="shared" si="25"/>
        <v>302,15</v>
      </c>
      <c r="O44" s="7" t="str">
        <f t="shared" si="18"/>
        <v>302,15,5</v>
      </c>
      <c r="P44" s="7" t="str">
        <f t="shared" si="19"/>
        <v/>
      </c>
      <c r="Q44" s="7" t="str">
        <f t="shared" si="20"/>
        <v/>
      </c>
      <c r="R44" s="7" t="str">
        <f t="shared" si="22"/>
        <v>302,15,5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/>
      </c>
      <c r="J45" s="7" t="str">
        <f t="shared" si="15"/>
        <v/>
      </c>
      <c r="K45" s="7" t="str">
        <f t="shared" si="26"/>
        <v/>
      </c>
      <c r="L45" s="7" t="str">
        <f t="shared" si="16"/>
        <v/>
      </c>
      <c r="M45" s="7" t="str">
        <f t="shared" si="17"/>
        <v/>
      </c>
      <c r="N45" s="7" t="str">
        <f t="shared" si="26"/>
        <v>302,15</v>
      </c>
      <c r="O45" s="7" t="str">
        <f t="shared" si="18"/>
        <v>302,15,6</v>
      </c>
      <c r="P45" s="7" t="str">
        <f t="shared" si="19"/>
        <v/>
      </c>
      <c r="Q45" s="7" t="str">
        <f t="shared" si="20"/>
        <v/>
      </c>
      <c r="R45" s="7" t="str">
        <f t="shared" si="22"/>
        <v>302,15,6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/>
      </c>
      <c r="J46" s="7" t="str">
        <f t="shared" si="15"/>
        <v/>
      </c>
      <c r="K46" s="7" t="str">
        <f t="shared" si="27"/>
        <v/>
      </c>
      <c r="L46" s="7" t="str">
        <f t="shared" si="16"/>
        <v/>
      </c>
      <c r="M46" s="7" t="str">
        <f t="shared" si="17"/>
        <v/>
      </c>
      <c r="N46" s="7" t="str">
        <f t="shared" si="27"/>
        <v>302,15</v>
      </c>
      <c r="O46" s="7" t="str">
        <f t="shared" si="18"/>
        <v>302,15,7</v>
      </c>
      <c r="P46" s="7" t="str">
        <f t="shared" si="19"/>
        <v/>
      </c>
      <c r="Q46" s="7" t="str">
        <f t="shared" si="20"/>
        <v/>
      </c>
      <c r="R46" s="7" t="str">
        <f t="shared" si="22"/>
        <v>302,15,7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/>
      </c>
      <c r="J47" s="7" t="str">
        <f t="shared" si="15"/>
        <v/>
      </c>
      <c r="K47" s="7" t="str">
        <f t="shared" si="28"/>
        <v/>
      </c>
      <c r="L47" s="7" t="str">
        <f t="shared" si="16"/>
        <v/>
      </c>
      <c r="M47" s="7" t="str">
        <f t="shared" si="17"/>
        <v/>
      </c>
      <c r="N47" s="7" t="str">
        <f t="shared" si="28"/>
        <v>302,15</v>
      </c>
      <c r="O47" s="7" t="str">
        <f t="shared" si="18"/>
        <v>302,15,8</v>
      </c>
      <c r="P47" s="7" t="str">
        <f t="shared" si="19"/>
        <v/>
      </c>
      <c r="Q47" s="7" t="str">
        <f t="shared" si="20"/>
        <v/>
      </c>
      <c r="R47" s="7" t="str">
        <f t="shared" si="22"/>
        <v>302,15,8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/>
      </c>
      <c r="J48" s="7" t="str">
        <f t="shared" si="15"/>
        <v/>
      </c>
      <c r="K48" s="7" t="str">
        <f t="shared" si="29"/>
        <v/>
      </c>
      <c r="L48" s="7" t="str">
        <f t="shared" si="16"/>
        <v/>
      </c>
      <c r="M48" s="7" t="str">
        <f t="shared" si="17"/>
        <v/>
      </c>
      <c r="N48" s="7" t="str">
        <f t="shared" si="29"/>
        <v>302,15</v>
      </c>
      <c r="O48" s="7" t="str">
        <f t="shared" si="18"/>
        <v>302,15,9</v>
      </c>
      <c r="P48" s="7" t="str">
        <f t="shared" si="19"/>
        <v/>
      </c>
      <c r="Q48" s="7" t="str">
        <f t="shared" si="20"/>
        <v/>
      </c>
      <c r="R48" s="7" t="str">
        <f t="shared" si="22"/>
        <v>302,15,9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/>
      </c>
      <c r="J49" s="7" t="str">
        <f t="shared" si="15"/>
        <v/>
      </c>
      <c r="K49" s="7" t="str">
        <f t="shared" si="30"/>
        <v/>
      </c>
      <c r="L49" s="7" t="str">
        <f t="shared" si="16"/>
        <v/>
      </c>
      <c r="M49" s="7" t="str">
        <f t="shared" si="17"/>
        <v/>
      </c>
      <c r="N49" s="7" t="str">
        <f t="shared" si="30"/>
        <v>302,15</v>
      </c>
      <c r="O49" s="7" t="str">
        <f t="shared" si="18"/>
        <v>302,15,10</v>
      </c>
      <c r="P49" s="7" t="str">
        <f t="shared" si="19"/>
        <v/>
      </c>
      <c r="Q49" s="7" t="str">
        <f t="shared" si="20"/>
        <v/>
      </c>
      <c r="R49" s="7" t="str">
        <f t="shared" si="22"/>
        <v>302,15,10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/>
      </c>
      <c r="J50" s="7" t="str">
        <f t="shared" si="15"/>
        <v/>
      </c>
      <c r="K50" s="7" t="str">
        <f t="shared" si="31"/>
        <v/>
      </c>
      <c r="L50" s="7" t="str">
        <f t="shared" si="16"/>
        <v/>
      </c>
      <c r="M50" s="7" t="str">
        <f t="shared" si="17"/>
        <v/>
      </c>
      <c r="N50" s="7" t="str">
        <f t="shared" si="31"/>
        <v>303,20</v>
      </c>
      <c r="O50" s="7" t="str">
        <f t="shared" si="18"/>
        <v>303,20,11</v>
      </c>
      <c r="P50" s="7" t="str">
        <f t="shared" si="19"/>
        <v/>
      </c>
      <c r="Q50" s="7" t="str">
        <f t="shared" si="20"/>
        <v/>
      </c>
      <c r="R50" s="7" t="str">
        <f t="shared" si="22"/>
        <v>303,20,11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/>
      </c>
      <c r="J51" s="7" t="str">
        <f t="shared" si="15"/>
        <v/>
      </c>
      <c r="K51" s="7" t="str">
        <f t="shared" si="32"/>
        <v/>
      </c>
      <c r="L51" s="7" t="str">
        <f t="shared" si="16"/>
        <v/>
      </c>
      <c r="M51" s="7" t="str">
        <f t="shared" si="17"/>
        <v/>
      </c>
      <c r="N51" s="7" t="str">
        <f t="shared" si="32"/>
        <v>303,20</v>
      </c>
      <c r="O51" s="7" t="str">
        <f t="shared" si="18"/>
        <v>303,20,12</v>
      </c>
      <c r="P51" s="7" t="str">
        <f t="shared" si="19"/>
        <v/>
      </c>
      <c r="Q51" s="7" t="str">
        <f t="shared" si="20"/>
        <v/>
      </c>
      <c r="R51" s="7" t="str">
        <f t="shared" si="22"/>
        <v>303,20,12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/>
      </c>
      <c r="J52" s="7" t="str">
        <f t="shared" si="15"/>
        <v/>
      </c>
      <c r="K52" s="7" t="str">
        <f t="shared" si="33"/>
        <v/>
      </c>
      <c r="L52" s="7" t="str">
        <f t="shared" si="16"/>
        <v/>
      </c>
      <c r="M52" s="7" t="str">
        <f t="shared" si="17"/>
        <v/>
      </c>
      <c r="N52" s="7" t="str">
        <f t="shared" si="33"/>
        <v>303,20</v>
      </c>
      <c r="O52" s="7" t="str">
        <f t="shared" si="18"/>
        <v>303,20,13</v>
      </c>
      <c r="P52" s="7" t="str">
        <f t="shared" si="19"/>
        <v/>
      </c>
      <c r="Q52" s="7" t="str">
        <f t="shared" si="20"/>
        <v/>
      </c>
      <c r="R52" s="7" t="str">
        <f t="shared" si="22"/>
        <v>303,20,13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/>
      </c>
      <c r="J53" s="7" t="str">
        <f t="shared" si="15"/>
        <v/>
      </c>
      <c r="K53" s="7" t="str">
        <f t="shared" si="34"/>
        <v/>
      </c>
      <c r="L53" s="7" t="str">
        <f t="shared" si="16"/>
        <v/>
      </c>
      <c r="M53" s="7" t="str">
        <f t="shared" si="17"/>
        <v/>
      </c>
      <c r="N53" s="7" t="str">
        <f t="shared" si="34"/>
        <v>303,20</v>
      </c>
      <c r="O53" s="7" t="str">
        <f t="shared" si="18"/>
        <v>303,20,14</v>
      </c>
      <c r="P53" s="7" t="str">
        <f t="shared" si="19"/>
        <v/>
      </c>
      <c r="Q53" s="7" t="str">
        <f t="shared" si="20"/>
        <v/>
      </c>
      <c r="R53" s="7" t="str">
        <f t="shared" si="22"/>
        <v>303,20,14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/>
      </c>
      <c r="J54" s="7" t="str">
        <f t="shared" si="15"/>
        <v/>
      </c>
      <c r="K54" s="7" t="str">
        <f t="shared" si="35"/>
        <v/>
      </c>
      <c r="L54" s="7" t="str">
        <f t="shared" si="16"/>
        <v/>
      </c>
      <c r="M54" s="7" t="str">
        <f t="shared" si="17"/>
        <v/>
      </c>
      <c r="N54" s="7" t="str">
        <f t="shared" si="35"/>
        <v>303,20</v>
      </c>
      <c r="O54" s="7" t="str">
        <f t="shared" si="18"/>
        <v>303,20,15</v>
      </c>
      <c r="P54" s="7" t="str">
        <f t="shared" si="19"/>
        <v/>
      </c>
      <c r="Q54" s="7" t="str">
        <f t="shared" si="20"/>
        <v/>
      </c>
      <c r="R54" s="7" t="str">
        <f t="shared" si="22"/>
        <v>303,20,15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/>
      </c>
      <c r="J55" s="7" t="str">
        <f t="shared" si="15"/>
        <v/>
      </c>
      <c r="K55" s="7" t="str">
        <f t="shared" si="36"/>
        <v/>
      </c>
      <c r="L55" s="7" t="str">
        <f t="shared" si="16"/>
        <v/>
      </c>
      <c r="M55" s="7" t="str">
        <f t="shared" si="17"/>
        <v/>
      </c>
      <c r="N55" s="7" t="str">
        <f t="shared" si="36"/>
        <v>303,20</v>
      </c>
      <c r="O55" s="7" t="str">
        <f t="shared" si="18"/>
        <v>303,20,16</v>
      </c>
      <c r="P55" s="7" t="str">
        <f t="shared" si="19"/>
        <v/>
      </c>
      <c r="Q55" s="7" t="str">
        <f t="shared" si="20"/>
        <v/>
      </c>
      <c r="R55" s="7" t="str">
        <f t="shared" si="22"/>
        <v>303,20,16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/>
      </c>
      <c r="J56" s="7" t="str">
        <f t="shared" si="15"/>
        <v/>
      </c>
      <c r="K56" s="7" t="str">
        <f t="shared" si="37"/>
        <v/>
      </c>
      <c r="L56" s="7" t="str">
        <f t="shared" si="16"/>
        <v/>
      </c>
      <c r="M56" s="7" t="str">
        <f t="shared" si="17"/>
        <v/>
      </c>
      <c r="N56" s="7" t="str">
        <f t="shared" si="37"/>
        <v>303,20</v>
      </c>
      <c r="O56" s="7" t="str">
        <f t="shared" si="18"/>
        <v>303,20,17</v>
      </c>
      <c r="P56" s="7" t="str">
        <f t="shared" si="19"/>
        <v/>
      </c>
      <c r="Q56" s="7" t="str">
        <f t="shared" si="20"/>
        <v/>
      </c>
      <c r="R56" s="7" t="str">
        <f t="shared" si="22"/>
        <v>303,20,17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/>
      </c>
      <c r="J57" s="7" t="str">
        <f t="shared" si="15"/>
        <v/>
      </c>
      <c r="K57" s="7" t="str">
        <f t="shared" si="38"/>
        <v/>
      </c>
      <c r="L57" s="7" t="str">
        <f t="shared" si="16"/>
        <v/>
      </c>
      <c r="M57" s="7" t="str">
        <f t="shared" si="17"/>
        <v/>
      </c>
      <c r="N57" s="7" t="str">
        <f t="shared" si="38"/>
        <v>303,20</v>
      </c>
      <c r="O57" s="7" t="str">
        <f t="shared" si="18"/>
        <v>303,20,18</v>
      </c>
      <c r="P57" s="7" t="str">
        <f t="shared" si="19"/>
        <v/>
      </c>
      <c r="Q57" s="7" t="str">
        <f t="shared" si="20"/>
        <v/>
      </c>
      <c r="R57" s="7" t="str">
        <f t="shared" si="22"/>
        <v>303,20,18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/>
      </c>
      <c r="J58" s="7" t="str">
        <f t="shared" si="15"/>
        <v/>
      </c>
      <c r="K58" s="7" t="str">
        <f t="shared" si="39"/>
        <v/>
      </c>
      <c r="L58" s="7" t="str">
        <f t="shared" si="16"/>
        <v/>
      </c>
      <c r="M58" s="7" t="str">
        <f t="shared" si="17"/>
        <v/>
      </c>
      <c r="N58" s="7" t="str">
        <f t="shared" si="39"/>
        <v>303,20</v>
      </c>
      <c r="O58" s="7" t="str">
        <f t="shared" si="18"/>
        <v>303,20,19</v>
      </c>
      <c r="P58" s="7" t="str">
        <f t="shared" si="19"/>
        <v/>
      </c>
      <c r="Q58" s="7" t="str">
        <f t="shared" si="20"/>
        <v/>
      </c>
      <c r="R58" s="7" t="str">
        <f t="shared" si="22"/>
        <v>303,20,19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/>
      </c>
      <c r="J59" s="7" t="str">
        <f t="shared" si="15"/>
        <v/>
      </c>
      <c r="K59" s="7" t="str">
        <f t="shared" si="40"/>
        <v/>
      </c>
      <c r="L59" s="7" t="str">
        <f t="shared" si="16"/>
        <v/>
      </c>
      <c r="M59" s="7" t="str">
        <f t="shared" si="17"/>
        <v/>
      </c>
      <c r="N59" s="7" t="str">
        <f t="shared" si="40"/>
        <v>303,20</v>
      </c>
      <c r="O59" s="7" t="str">
        <f t="shared" si="18"/>
        <v>303,20,20</v>
      </c>
      <c r="P59" s="7" t="str">
        <f t="shared" si="19"/>
        <v/>
      </c>
      <c r="Q59" s="7" t="str">
        <f t="shared" si="20"/>
        <v/>
      </c>
      <c r="R59" s="7" t="str">
        <f t="shared" si="22"/>
        <v>303,20,20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2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2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2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2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2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2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2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2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2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2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/>
      </c>
      <c r="N71" s="7"/>
      <c r="O71" s="7"/>
      <c r="P71" s="7"/>
      <c r="Q71" s="7"/>
      <c r="R71" s="15" t="str">
        <f>_xlfn.TEXTJOIN("|",TRUE,R40:R69)</f>
        <v>10001,1,1;301,15,1|301,15,2|301,15,3|301,15,4|302,15,5|302,15,6|302,15,7|302,15,8|302,15,9|302,15,10|303,20,11|303,20,12|303,20,13|303,20,14|303,20,15|303,20,16|303,20,17|303,20,18|303,20,19|303,20,20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3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  <c r="AJ75" s="4" t="s">
        <v>629</v>
      </c>
      <c r="AK75" s="4" t="s">
        <v>630</v>
      </c>
    </row>
    <row r="76" spans="1:3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  <c r="AJ76" s="4" t="e">
        <f>SUM(AM79:AM98)</f>
        <v>#DIV/0!</v>
      </c>
      <c r="AK76" s="4" t="e">
        <f>ROUND(AJ76/AK79/35*20,0)</f>
        <v>#DIV/0!</v>
      </c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9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  <c r="AI78" s="4" t="s">
        <v>136</v>
      </c>
      <c r="AJ78" s="4" t="s">
        <v>631</v>
      </c>
      <c r="AK78" s="4" t="s">
        <v>632</v>
      </c>
      <c r="AL78" t="s">
        <v>633</v>
      </c>
      <c r="AM78" t="s">
        <v>629</v>
      </c>
    </row>
    <row r="79" customFormat="1" spans="1:39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1</v>
      </c>
      <c r="O79" s="4">
        <f t="shared" ref="O79:O81" si="51">W79*(1-(N79-1)/6)*1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93" si="52">SUM(P79:T79)+O79*0.2</f>
        <v>0.4</v>
      </c>
      <c r="V79" s="4">
        <v>1</v>
      </c>
      <c r="W79" s="7">
        <f t="shared" ref="W79:W98" si="53">C2</f>
        <v>2</v>
      </c>
      <c r="X79" s="4">
        <f t="shared" ref="X79:X108" si="54">(O79*W79)^V79</f>
        <v>4</v>
      </c>
      <c r="Y79" s="4">
        <f t="shared" ref="Y79:Y108" si="55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6">$R$77*U79*(AB79+AC79)</f>
        <v>350</v>
      </c>
      <c r="AE79" s="4">
        <f t="shared" ref="AE79:AE108" si="57">ROUND(AD79/AA79*V79,0)</f>
        <v>18</v>
      </c>
      <c r="AF79" s="4">
        <f t="shared" ref="AF79:AF108" si="58">ROUND(AD79/AA79*V79*AG79,0)</f>
        <v>11</v>
      </c>
      <c r="AG79" s="4">
        <v>0.6</v>
      </c>
      <c r="AH79" s="4">
        <f t="shared" ref="AH79:AH108" si="59">AF79</f>
        <v>11</v>
      </c>
      <c r="AI79" s="4">
        <f>O2</f>
        <v>15</v>
      </c>
      <c r="AJ79" s="4">
        <f>AH79*AA79</f>
        <v>220</v>
      </c>
      <c r="AK79" s="4">
        <f>ROUND(AJ79/AI79,0)</f>
        <v>15</v>
      </c>
      <c r="AL79" s="7">
        <f>怪物难度系数!AC4</f>
        <v>20</v>
      </c>
      <c r="AM79">
        <f>AJ79*AL79</f>
        <v>4400</v>
      </c>
    </row>
    <row r="80" customFormat="1" spans="1:39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1</v>
      </c>
      <c r="O80" s="4">
        <f t="shared" si="51"/>
        <v>5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f t="shared" si="52"/>
        <v>1</v>
      </c>
      <c r="V80" s="4">
        <v>1</v>
      </c>
      <c r="W80" s="7">
        <f t="shared" si="53"/>
        <v>5</v>
      </c>
      <c r="X80" s="4">
        <f t="shared" si="54"/>
        <v>25</v>
      </c>
      <c r="Y80" s="4">
        <f t="shared" si="55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6"/>
        <v>875</v>
      </c>
      <c r="AE80" s="4">
        <f t="shared" si="57"/>
        <v>44</v>
      </c>
      <c r="AF80" s="4">
        <f t="shared" si="58"/>
        <v>26</v>
      </c>
      <c r="AG80" s="4">
        <v>0.6</v>
      </c>
      <c r="AH80" s="4">
        <f t="shared" si="59"/>
        <v>26</v>
      </c>
      <c r="AI80" s="4">
        <f t="shared" ref="AI80:AI98" si="60">O3</f>
        <v>15</v>
      </c>
      <c r="AJ80" s="4">
        <f t="shared" ref="AJ80:AJ98" si="61">AH80*AA80</f>
        <v>520</v>
      </c>
      <c r="AK80" s="4">
        <f t="shared" ref="AK80:AK98" si="62">ROUND(AJ80/AI80,0)</f>
        <v>35</v>
      </c>
      <c r="AL80" s="7">
        <f>怪物难度系数!AC5</f>
        <v>40</v>
      </c>
      <c r="AM80">
        <f t="shared" ref="AM80:AM108" si="63">AJ80*AL80</f>
        <v>20800</v>
      </c>
    </row>
    <row r="81" customFormat="1" spans="1:39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2</v>
      </c>
      <c r="O81" s="4">
        <f t="shared" si="51"/>
        <v>5</v>
      </c>
      <c r="P81" s="7">
        <f t="shared" ref="P81:P83" si="64">W81/6*1</f>
        <v>1</v>
      </c>
      <c r="Q81" s="7">
        <v>0</v>
      </c>
      <c r="R81" s="7">
        <v>0</v>
      </c>
      <c r="S81" s="7">
        <v>0</v>
      </c>
      <c r="T81" s="7">
        <v>0</v>
      </c>
      <c r="U81" s="7">
        <f t="shared" si="52"/>
        <v>2</v>
      </c>
      <c r="V81" s="4">
        <v>1</v>
      </c>
      <c r="W81" s="7">
        <f t="shared" si="53"/>
        <v>6</v>
      </c>
      <c r="X81" s="4">
        <f t="shared" si="54"/>
        <v>30</v>
      </c>
      <c r="Y81" s="4">
        <f t="shared" si="55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6"/>
        <v>1750</v>
      </c>
      <c r="AE81" s="4">
        <f t="shared" si="57"/>
        <v>88</v>
      </c>
      <c r="AF81" s="4">
        <f t="shared" si="58"/>
        <v>53</v>
      </c>
      <c r="AG81" s="4">
        <v>0.6</v>
      </c>
      <c r="AH81" s="4">
        <f t="shared" si="59"/>
        <v>53</v>
      </c>
      <c r="AI81" s="4">
        <f t="shared" si="60"/>
        <v>15</v>
      </c>
      <c r="AJ81" s="4">
        <f t="shared" si="61"/>
        <v>1060</v>
      </c>
      <c r="AK81" s="4">
        <f t="shared" si="62"/>
        <v>71</v>
      </c>
      <c r="AL81" s="7">
        <f>怪物难度系数!AC6</f>
        <v>98</v>
      </c>
      <c r="AM81">
        <f t="shared" si="63"/>
        <v>103880</v>
      </c>
    </row>
    <row r="82" customFormat="1" spans="1:39">
      <c r="A82" s="4">
        <v>4</v>
      </c>
      <c r="B82" s="7">
        <v>1</v>
      </c>
      <c r="C82" s="7"/>
      <c r="D82" s="7"/>
      <c r="E82" s="7"/>
      <c r="F82" s="7"/>
      <c r="G82" s="7"/>
      <c r="H82" s="4">
        <v>1</v>
      </c>
      <c r="I82" s="4"/>
      <c r="J82" s="7"/>
      <c r="K82" s="7"/>
      <c r="L82" s="7">
        <v>0</v>
      </c>
      <c r="M82" s="7">
        <v>0</v>
      </c>
      <c r="N82" s="7">
        <v>2</v>
      </c>
      <c r="O82" s="4">
        <f t="shared" ref="O82:O84" si="65">W82*(1-(N82-1)/6)*(1+0.5)</f>
        <v>11.25</v>
      </c>
      <c r="P82" s="7">
        <f t="shared" si="64"/>
        <v>1.5</v>
      </c>
      <c r="Q82" s="7">
        <v>0</v>
      </c>
      <c r="R82" s="7">
        <v>0</v>
      </c>
      <c r="S82" s="7">
        <v>0</v>
      </c>
      <c r="T82" s="7">
        <v>0</v>
      </c>
      <c r="U82" s="7">
        <f t="shared" si="52"/>
        <v>3.75</v>
      </c>
      <c r="V82" s="4">
        <v>1</v>
      </c>
      <c r="W82" s="7">
        <f t="shared" si="53"/>
        <v>9</v>
      </c>
      <c r="X82" s="4">
        <f t="shared" si="54"/>
        <v>101.25</v>
      </c>
      <c r="Y82" s="4">
        <f t="shared" si="55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6"/>
        <v>3281.25</v>
      </c>
      <c r="AE82" s="4">
        <f t="shared" si="57"/>
        <v>164</v>
      </c>
      <c r="AF82" s="4">
        <f t="shared" si="58"/>
        <v>107</v>
      </c>
      <c r="AG82" s="4">
        <v>0.65</v>
      </c>
      <c r="AH82" s="4">
        <f t="shared" si="59"/>
        <v>107</v>
      </c>
      <c r="AI82" s="4">
        <f t="shared" si="60"/>
        <v>15</v>
      </c>
      <c r="AJ82" s="4">
        <f t="shared" si="61"/>
        <v>2140</v>
      </c>
      <c r="AK82" s="4">
        <f t="shared" si="62"/>
        <v>143</v>
      </c>
      <c r="AL82" s="7">
        <f>怪物难度系数!AC7</f>
        <v>178</v>
      </c>
      <c r="AM82">
        <f t="shared" si="63"/>
        <v>380920</v>
      </c>
    </row>
    <row r="83" customFormat="1" spans="1:39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3</v>
      </c>
      <c r="O83" s="4">
        <f t="shared" si="65"/>
        <v>11</v>
      </c>
      <c r="P83" s="7">
        <f t="shared" si="64"/>
        <v>1.83333333333333</v>
      </c>
      <c r="Q83" s="7">
        <f t="shared" ref="Q83:Q85" si="66">W83/6*1</f>
        <v>1.83333333333333</v>
      </c>
      <c r="R83" s="7">
        <v>0</v>
      </c>
      <c r="S83" s="7">
        <v>0</v>
      </c>
      <c r="T83" s="7">
        <v>0</v>
      </c>
      <c r="U83" s="7">
        <f t="shared" si="52"/>
        <v>5.86666666666667</v>
      </c>
      <c r="V83" s="4">
        <v>1</v>
      </c>
      <c r="W83" s="7">
        <f t="shared" si="53"/>
        <v>11</v>
      </c>
      <c r="X83" s="4">
        <f t="shared" si="54"/>
        <v>121</v>
      </c>
      <c r="Y83" s="4">
        <f t="shared" si="55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6"/>
        <v>5133.33333333333</v>
      </c>
      <c r="AE83" s="4">
        <f t="shared" si="57"/>
        <v>128</v>
      </c>
      <c r="AF83" s="4">
        <f t="shared" si="58"/>
        <v>90</v>
      </c>
      <c r="AG83" s="4">
        <v>0.7</v>
      </c>
      <c r="AH83" s="4">
        <f t="shared" si="59"/>
        <v>90</v>
      </c>
      <c r="AI83" s="4">
        <f t="shared" si="60"/>
        <v>15</v>
      </c>
      <c r="AJ83" s="4">
        <f t="shared" si="61"/>
        <v>3600</v>
      </c>
      <c r="AK83" s="4">
        <f t="shared" si="62"/>
        <v>240</v>
      </c>
      <c r="AL83" s="7">
        <f>怪物难度系数!AC8</f>
        <v>382</v>
      </c>
      <c r="AM83">
        <f t="shared" si="63"/>
        <v>1375200</v>
      </c>
    </row>
    <row r="84" customFormat="1" spans="1:39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/>
      <c r="K84" s="7"/>
      <c r="L84" s="7">
        <v>0</v>
      </c>
      <c r="M84" s="7">
        <v>0</v>
      </c>
      <c r="N84" s="7">
        <v>3</v>
      </c>
      <c r="O84" s="4">
        <f t="shared" si="65"/>
        <v>12</v>
      </c>
      <c r="P84" s="7">
        <f t="shared" ref="P84:P86" si="67">W84/6*(1+1)</f>
        <v>4</v>
      </c>
      <c r="Q84" s="7">
        <f t="shared" si="66"/>
        <v>2</v>
      </c>
      <c r="R84" s="7">
        <v>0</v>
      </c>
      <c r="S84" s="7">
        <v>0</v>
      </c>
      <c r="T84" s="7">
        <v>0</v>
      </c>
      <c r="U84" s="7">
        <f t="shared" si="52"/>
        <v>8.4</v>
      </c>
      <c r="V84" s="4">
        <v>1</v>
      </c>
      <c r="W84" s="7">
        <f t="shared" si="53"/>
        <v>12</v>
      </c>
      <c r="X84" s="4">
        <f t="shared" si="54"/>
        <v>144</v>
      </c>
      <c r="Y84" s="4">
        <f t="shared" si="55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6"/>
        <v>7350</v>
      </c>
      <c r="AE84" s="4">
        <f t="shared" si="57"/>
        <v>368</v>
      </c>
      <c r="AF84" s="4">
        <f t="shared" si="58"/>
        <v>276</v>
      </c>
      <c r="AG84" s="4">
        <v>0.75</v>
      </c>
      <c r="AH84" s="4">
        <f t="shared" si="59"/>
        <v>276</v>
      </c>
      <c r="AI84" s="4">
        <f t="shared" si="60"/>
        <v>15</v>
      </c>
      <c r="AJ84" s="4">
        <f t="shared" si="61"/>
        <v>5520</v>
      </c>
      <c r="AK84" s="4">
        <f t="shared" si="62"/>
        <v>368</v>
      </c>
      <c r="AL84" s="7">
        <f>怪物难度系数!AC9</f>
        <v>1285</v>
      </c>
      <c r="AM84">
        <f t="shared" si="63"/>
        <v>7093200</v>
      </c>
    </row>
    <row r="85" customFormat="1" spans="1:39">
      <c r="A85" s="9">
        <v>7</v>
      </c>
      <c r="B85" s="10"/>
      <c r="C85" s="10"/>
      <c r="D85" s="10"/>
      <c r="E85" s="10"/>
      <c r="F85" s="10"/>
      <c r="G85" s="10"/>
      <c r="H85" s="4">
        <v>0.5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 t="shared" ref="O85:O89" si="68">W85*(1-(N85-1)/6)*(1+0.5)*(1+0.5)</f>
        <v>15.75</v>
      </c>
      <c r="P85" s="7">
        <f t="shared" si="67"/>
        <v>4.66666666666667</v>
      </c>
      <c r="Q85" s="7">
        <f t="shared" si="66"/>
        <v>2.33333333333333</v>
      </c>
      <c r="R85" s="7">
        <f t="shared" ref="R85:R87" si="69">W85/6*1</f>
        <v>2.33333333333333</v>
      </c>
      <c r="S85" s="7">
        <v>0</v>
      </c>
      <c r="T85" s="7">
        <v>0</v>
      </c>
      <c r="U85" s="7">
        <f t="shared" si="52"/>
        <v>12.4833333333333</v>
      </c>
      <c r="V85" s="4">
        <v>1</v>
      </c>
      <c r="W85" s="7">
        <f t="shared" si="53"/>
        <v>14</v>
      </c>
      <c r="X85" s="4">
        <f t="shared" si="54"/>
        <v>220.5</v>
      </c>
      <c r="Y85" s="4">
        <f t="shared" si="55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6"/>
        <v>10922.9166666667</v>
      </c>
      <c r="AE85" s="4">
        <f t="shared" si="57"/>
        <v>546</v>
      </c>
      <c r="AF85" s="4">
        <f t="shared" si="58"/>
        <v>410</v>
      </c>
      <c r="AG85" s="4">
        <v>0.75</v>
      </c>
      <c r="AH85" s="4">
        <f t="shared" si="59"/>
        <v>410</v>
      </c>
      <c r="AI85" s="4">
        <f t="shared" si="60"/>
        <v>15</v>
      </c>
      <c r="AJ85" s="4">
        <f t="shared" si="61"/>
        <v>8200</v>
      </c>
      <c r="AK85" s="4">
        <f t="shared" si="62"/>
        <v>547</v>
      </c>
      <c r="AL85" s="7">
        <f>怪物难度系数!AC10</f>
        <v>1909</v>
      </c>
      <c r="AM85">
        <f t="shared" si="63"/>
        <v>15653800</v>
      </c>
    </row>
    <row r="86" customFormat="1" spans="1:39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 t="shared" si="68"/>
        <v>18</v>
      </c>
      <c r="P86" s="7">
        <f t="shared" si="67"/>
        <v>5.33333333333333</v>
      </c>
      <c r="Q86" s="7">
        <f t="shared" ref="Q86:Q90" si="70">W86/6*(1+1)</f>
        <v>5.33333333333333</v>
      </c>
      <c r="R86" s="7">
        <f t="shared" si="69"/>
        <v>2.66666666666667</v>
      </c>
      <c r="S86" s="7">
        <v>0</v>
      </c>
      <c r="T86" s="7">
        <v>0</v>
      </c>
      <c r="U86" s="7">
        <f t="shared" si="52"/>
        <v>16.9333333333333</v>
      </c>
      <c r="V86" s="4">
        <v>1</v>
      </c>
      <c r="W86" s="7">
        <f t="shared" si="53"/>
        <v>16</v>
      </c>
      <c r="X86" s="4">
        <f t="shared" si="54"/>
        <v>288</v>
      </c>
      <c r="Y86" s="4">
        <f t="shared" si="55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6"/>
        <v>14816.6666666667</v>
      </c>
      <c r="AE86" s="4">
        <f t="shared" si="57"/>
        <v>741</v>
      </c>
      <c r="AF86" s="4">
        <f t="shared" si="58"/>
        <v>556</v>
      </c>
      <c r="AG86" s="4">
        <v>0.75</v>
      </c>
      <c r="AH86" s="4">
        <f t="shared" si="59"/>
        <v>556</v>
      </c>
      <c r="AI86" s="4">
        <f t="shared" si="60"/>
        <v>15</v>
      </c>
      <c r="AJ86" s="4">
        <f t="shared" si="61"/>
        <v>11120</v>
      </c>
      <c r="AK86" s="4">
        <f t="shared" si="62"/>
        <v>741</v>
      </c>
      <c r="AL86" s="7">
        <f>怪物难度系数!AC11</f>
        <v>3736</v>
      </c>
      <c r="AM86">
        <f t="shared" si="63"/>
        <v>41544320</v>
      </c>
    </row>
    <row r="87" customFormat="1" spans="1:39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 t="shared" si="68"/>
        <v>19.125</v>
      </c>
      <c r="P87" s="7">
        <f>W87/6*(1+1.5)</f>
        <v>7.08333333333333</v>
      </c>
      <c r="Q87" s="7">
        <f t="shared" si="70"/>
        <v>5.66666666666667</v>
      </c>
      <c r="R87" s="7">
        <f t="shared" si="69"/>
        <v>2.83333333333333</v>
      </c>
      <c r="S87" s="7">
        <v>0</v>
      </c>
      <c r="T87" s="7">
        <v>0</v>
      </c>
      <c r="U87" s="7">
        <f t="shared" si="52"/>
        <v>19.4083333333333</v>
      </c>
      <c r="V87" s="4">
        <v>1</v>
      </c>
      <c r="W87" s="7">
        <f t="shared" si="53"/>
        <v>17</v>
      </c>
      <c r="X87" s="4">
        <f t="shared" si="54"/>
        <v>325.125</v>
      </c>
      <c r="Y87" s="4">
        <f t="shared" si="55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6"/>
        <v>16982.2916666667</v>
      </c>
      <c r="AE87" s="4">
        <f t="shared" si="57"/>
        <v>849</v>
      </c>
      <c r="AF87" s="4">
        <f t="shared" si="58"/>
        <v>637</v>
      </c>
      <c r="AG87" s="4">
        <v>0.75</v>
      </c>
      <c r="AH87" s="4">
        <f t="shared" si="59"/>
        <v>637</v>
      </c>
      <c r="AI87" s="4">
        <f t="shared" si="60"/>
        <v>15</v>
      </c>
      <c r="AJ87" s="4">
        <f t="shared" si="61"/>
        <v>12740</v>
      </c>
      <c r="AK87" s="4">
        <f t="shared" si="62"/>
        <v>849</v>
      </c>
      <c r="AL87" s="7">
        <f>怪物难度系数!AC12</f>
        <v>6519</v>
      </c>
      <c r="AM87">
        <f t="shared" si="63"/>
        <v>83052060</v>
      </c>
    </row>
    <row r="88" customFormat="1" spans="1:39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 t="shared" si="68"/>
        <v>21.375</v>
      </c>
      <c r="P88" s="7">
        <f>W88/6*(1+1.5)</f>
        <v>7.91666666666667</v>
      </c>
      <c r="Q88" s="7">
        <f t="shared" si="70"/>
        <v>6.33333333333333</v>
      </c>
      <c r="R88" s="7">
        <f t="shared" ref="R88:R91" si="71">W88/6*(1+1)</f>
        <v>6.33333333333333</v>
      </c>
      <c r="S88" s="7">
        <v>0</v>
      </c>
      <c r="T88" s="7">
        <v>0</v>
      </c>
      <c r="U88" s="7">
        <f t="shared" si="52"/>
        <v>24.8583333333333</v>
      </c>
      <c r="V88" s="4">
        <v>1</v>
      </c>
      <c r="W88" s="7">
        <f t="shared" si="53"/>
        <v>19</v>
      </c>
      <c r="X88" s="4">
        <f t="shared" si="54"/>
        <v>406.125</v>
      </c>
      <c r="Y88" s="4">
        <f t="shared" si="55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6"/>
        <v>21751.0416666667</v>
      </c>
      <c r="AE88" s="4">
        <f t="shared" si="57"/>
        <v>544</v>
      </c>
      <c r="AF88" s="4">
        <f t="shared" si="58"/>
        <v>435</v>
      </c>
      <c r="AG88" s="4">
        <v>0.8</v>
      </c>
      <c r="AH88" s="4">
        <f t="shared" si="59"/>
        <v>435</v>
      </c>
      <c r="AI88" s="4">
        <f t="shared" si="60"/>
        <v>15</v>
      </c>
      <c r="AJ88" s="4">
        <f t="shared" si="61"/>
        <v>17400</v>
      </c>
      <c r="AK88" s="4">
        <f t="shared" si="62"/>
        <v>1160</v>
      </c>
      <c r="AL88" s="7">
        <f>怪物难度系数!AC13</f>
        <v>9189</v>
      </c>
      <c r="AM88">
        <f t="shared" si="63"/>
        <v>159888600</v>
      </c>
    </row>
    <row r="89" customFormat="1" spans="1:39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 t="shared" si="68"/>
        <v>23.625</v>
      </c>
      <c r="P89" s="7">
        <f t="shared" ref="P89:P91" si="72">W89/6*(1+1.5)*(1+1)</f>
        <v>17.5</v>
      </c>
      <c r="Q89" s="7">
        <f t="shared" si="70"/>
        <v>7</v>
      </c>
      <c r="R89" s="7">
        <f t="shared" si="71"/>
        <v>7</v>
      </c>
      <c r="S89" s="7">
        <v>0</v>
      </c>
      <c r="T89" s="7">
        <v>0</v>
      </c>
      <c r="U89" s="7">
        <f t="shared" si="52"/>
        <v>36.225</v>
      </c>
      <c r="V89" s="4">
        <v>1</v>
      </c>
      <c r="W89" s="7">
        <f t="shared" si="53"/>
        <v>21</v>
      </c>
      <c r="X89" s="4">
        <f t="shared" si="54"/>
        <v>496.125</v>
      </c>
      <c r="Y89" s="4">
        <f t="shared" si="55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6"/>
        <v>31696.875</v>
      </c>
      <c r="AE89" s="4">
        <f t="shared" si="57"/>
        <v>1057</v>
      </c>
      <c r="AF89" s="4">
        <f t="shared" si="58"/>
        <v>845</v>
      </c>
      <c r="AG89" s="4">
        <v>0.8</v>
      </c>
      <c r="AH89" s="4">
        <f t="shared" si="59"/>
        <v>845</v>
      </c>
      <c r="AI89" s="4">
        <f t="shared" si="60"/>
        <v>20</v>
      </c>
      <c r="AJ89" s="4">
        <f t="shared" si="61"/>
        <v>25350</v>
      </c>
      <c r="AK89" s="4">
        <f t="shared" si="62"/>
        <v>1268</v>
      </c>
      <c r="AL89" s="7">
        <f>怪物难度系数!AC14</f>
        <v>17775</v>
      </c>
      <c r="AM89">
        <f t="shared" si="63"/>
        <v>450596250</v>
      </c>
    </row>
    <row r="90" customFormat="1" spans="1:39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 t="shared" ref="O90:O92" si="73">W90*(1-(N90-1)/6)*(1+1)*(1+0.5)</f>
        <v>30</v>
      </c>
      <c r="P90" s="7">
        <f t="shared" si="72"/>
        <v>16.6666666666667</v>
      </c>
      <c r="Q90" s="7">
        <f t="shared" si="70"/>
        <v>6.66666666666667</v>
      </c>
      <c r="R90" s="7">
        <f t="shared" si="71"/>
        <v>6.66666666666667</v>
      </c>
      <c r="S90" s="7">
        <v>0</v>
      </c>
      <c r="T90" s="7">
        <v>0</v>
      </c>
      <c r="U90" s="7">
        <f t="shared" si="52"/>
        <v>36</v>
      </c>
      <c r="V90" s="4">
        <v>1</v>
      </c>
      <c r="W90" s="7">
        <f t="shared" si="53"/>
        <v>20</v>
      </c>
      <c r="X90" s="4">
        <f t="shared" si="54"/>
        <v>600</v>
      </c>
      <c r="Y90" s="4">
        <f t="shared" si="55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6"/>
        <v>31500</v>
      </c>
      <c r="AE90" s="4">
        <f t="shared" si="57"/>
        <v>1050</v>
      </c>
      <c r="AF90" s="4">
        <f t="shared" si="58"/>
        <v>840</v>
      </c>
      <c r="AG90" s="4">
        <v>0.8</v>
      </c>
      <c r="AH90" s="4">
        <f t="shared" si="59"/>
        <v>840</v>
      </c>
      <c r="AI90" s="4">
        <f t="shared" si="60"/>
        <v>20</v>
      </c>
      <c r="AJ90" s="4">
        <f t="shared" si="61"/>
        <v>25200</v>
      </c>
      <c r="AK90" s="4">
        <f t="shared" si="62"/>
        <v>1260</v>
      </c>
      <c r="AL90" s="7">
        <f>怪物难度系数!AC15</f>
        <v>20222</v>
      </c>
      <c r="AM90">
        <f t="shared" si="63"/>
        <v>509594400</v>
      </c>
    </row>
    <row r="91" customFormat="1" spans="1:39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 t="shared" si="73"/>
        <v>33</v>
      </c>
      <c r="P91" s="7">
        <f t="shared" si="72"/>
        <v>18.3333333333333</v>
      </c>
      <c r="Q91" s="7">
        <f t="shared" ref="Q91:Q94" si="74">W91/6*(1+1)*(1+0.5)</f>
        <v>11</v>
      </c>
      <c r="R91" s="7">
        <f t="shared" si="71"/>
        <v>7.33333333333333</v>
      </c>
      <c r="S91" s="7">
        <v>0</v>
      </c>
      <c r="T91" s="7">
        <v>0</v>
      </c>
      <c r="U91" s="7">
        <f t="shared" si="52"/>
        <v>43.2666666666667</v>
      </c>
      <c r="V91" s="4">
        <v>1</v>
      </c>
      <c r="W91" s="7">
        <f t="shared" si="53"/>
        <v>22</v>
      </c>
      <c r="X91" s="4">
        <f t="shared" si="54"/>
        <v>726</v>
      </c>
      <c r="Y91" s="4">
        <f t="shared" si="55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6"/>
        <v>37858.3333333333</v>
      </c>
      <c r="AE91" s="4">
        <f t="shared" si="57"/>
        <v>1262</v>
      </c>
      <c r="AF91" s="4">
        <f t="shared" si="58"/>
        <v>1010</v>
      </c>
      <c r="AG91" s="4">
        <v>0.8</v>
      </c>
      <c r="AH91" s="4">
        <f t="shared" si="59"/>
        <v>1010</v>
      </c>
      <c r="AI91" s="4">
        <f t="shared" si="60"/>
        <v>20</v>
      </c>
      <c r="AJ91" s="4">
        <f t="shared" si="61"/>
        <v>30300</v>
      </c>
      <c r="AK91" s="4">
        <f t="shared" si="62"/>
        <v>1515</v>
      </c>
      <c r="AL91" s="7" t="e">
        <f>怪物难度系数!AC16</f>
        <v>#DIV/0!</v>
      </c>
      <c r="AM91" t="e">
        <f t="shared" si="63"/>
        <v>#DIV/0!</v>
      </c>
    </row>
    <row r="92" customFormat="1" spans="1:39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 t="shared" si="73"/>
        <v>36</v>
      </c>
      <c r="P92" s="7">
        <f>W92/6*(1+2)*(1+1)</f>
        <v>24</v>
      </c>
      <c r="Q92" s="7">
        <f t="shared" si="74"/>
        <v>12</v>
      </c>
      <c r="R92" s="7">
        <f t="shared" ref="R92:R95" si="75">W92/6*(1+1)*(1+0.5)</f>
        <v>12</v>
      </c>
      <c r="S92" s="7">
        <v>0</v>
      </c>
      <c r="T92" s="7">
        <v>0</v>
      </c>
      <c r="U92" s="7">
        <f t="shared" si="52"/>
        <v>55.2</v>
      </c>
      <c r="V92" s="4">
        <v>1</v>
      </c>
      <c r="W92" s="7">
        <f t="shared" si="53"/>
        <v>24</v>
      </c>
      <c r="X92" s="4">
        <f t="shared" si="54"/>
        <v>864</v>
      </c>
      <c r="Y92" s="4">
        <f t="shared" si="55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6"/>
        <v>48300</v>
      </c>
      <c r="AE92" s="4">
        <f t="shared" si="57"/>
        <v>1610</v>
      </c>
      <c r="AF92" s="4">
        <f t="shared" si="58"/>
        <v>1288</v>
      </c>
      <c r="AG92" s="4">
        <v>0.8</v>
      </c>
      <c r="AH92" s="4">
        <f t="shared" si="59"/>
        <v>1288</v>
      </c>
      <c r="AI92" s="4">
        <f t="shared" si="60"/>
        <v>20</v>
      </c>
      <c r="AJ92" s="4">
        <f t="shared" si="61"/>
        <v>38640</v>
      </c>
      <c r="AK92" s="4">
        <f t="shared" si="62"/>
        <v>1932</v>
      </c>
      <c r="AL92" s="7" t="e">
        <f>怪物难度系数!AC17</f>
        <v>#DIV/0!</v>
      </c>
      <c r="AM92" t="e">
        <f t="shared" si="63"/>
        <v>#DIV/0!</v>
      </c>
    </row>
    <row r="93" customFormat="1" spans="1:39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 t="shared" ref="O93:O97" si="76">W93*(1-(N93-1)/6)*(1+1)*(1+1.5)</f>
        <v>60</v>
      </c>
      <c r="P93" s="7">
        <f>W93/6*(1+2)*(1+1)</f>
        <v>24</v>
      </c>
      <c r="Q93" s="7">
        <f t="shared" si="74"/>
        <v>12</v>
      </c>
      <c r="R93" s="7">
        <f t="shared" si="75"/>
        <v>12</v>
      </c>
      <c r="S93" s="7">
        <v>0</v>
      </c>
      <c r="T93" s="7">
        <v>0</v>
      </c>
      <c r="U93" s="7">
        <f t="shared" si="52"/>
        <v>60</v>
      </c>
      <c r="V93" s="4">
        <v>1.1</v>
      </c>
      <c r="W93" s="7">
        <f t="shared" si="53"/>
        <v>24</v>
      </c>
      <c r="X93" s="4">
        <f t="shared" si="54"/>
        <v>2979.87976636184</v>
      </c>
      <c r="Y93" s="4">
        <f t="shared" si="55"/>
        <v>0</v>
      </c>
      <c r="Z93" s="7">
        <v>1</v>
      </c>
      <c r="AA93" s="7">
        <v>30</v>
      </c>
      <c r="AB93" s="7">
        <v>25</v>
      </c>
      <c r="AC93" s="7">
        <v>10</v>
      </c>
      <c r="AD93" s="7">
        <f t="shared" si="56"/>
        <v>52500</v>
      </c>
      <c r="AE93" s="4">
        <f t="shared" si="57"/>
        <v>1925</v>
      </c>
      <c r="AF93" s="4">
        <f t="shared" si="58"/>
        <v>1348</v>
      </c>
      <c r="AG93" s="4">
        <v>0.7</v>
      </c>
      <c r="AH93" s="4">
        <f t="shared" si="59"/>
        <v>1348</v>
      </c>
      <c r="AI93" s="4">
        <f t="shared" si="60"/>
        <v>20</v>
      </c>
      <c r="AJ93" s="4">
        <f t="shared" si="61"/>
        <v>40440</v>
      </c>
      <c r="AK93" s="4">
        <f t="shared" si="62"/>
        <v>2022</v>
      </c>
      <c r="AL93" s="7" t="e">
        <f>怪物难度系数!AC18</f>
        <v>#DIV/0!</v>
      </c>
      <c r="AM93" t="e">
        <f t="shared" si="63"/>
        <v>#DIV/0!</v>
      </c>
    </row>
    <row r="94" customFormat="1" spans="1:39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 t="shared" si="76"/>
        <v>62.5</v>
      </c>
      <c r="P94" s="7">
        <f t="shared" ref="P94:P98" si="77">W94/6*(1+2)*(1+2)</f>
        <v>37.5</v>
      </c>
      <c r="Q94" s="7">
        <f t="shared" si="74"/>
        <v>12.5</v>
      </c>
      <c r="R94" s="7">
        <f t="shared" si="75"/>
        <v>12.5</v>
      </c>
      <c r="S94" s="7">
        <v>0</v>
      </c>
      <c r="T94" s="7">
        <v>0</v>
      </c>
      <c r="U94" s="7">
        <f t="shared" ref="U94:U98" si="78">SUM(P94:T94)+O94*0.6</f>
        <v>100</v>
      </c>
      <c r="V94" s="4">
        <v>1.1</v>
      </c>
      <c r="W94" s="7">
        <f t="shared" si="53"/>
        <v>25</v>
      </c>
      <c r="X94" s="4">
        <f t="shared" si="54"/>
        <v>3259.88311613483</v>
      </c>
      <c r="Y94" s="4">
        <f t="shared" si="55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56"/>
        <v>87500</v>
      </c>
      <c r="AE94" s="4">
        <f t="shared" si="57"/>
        <v>3208</v>
      </c>
      <c r="AF94" s="4">
        <f t="shared" si="58"/>
        <v>1925</v>
      </c>
      <c r="AG94" s="4">
        <v>0.6</v>
      </c>
      <c r="AH94" s="4">
        <f t="shared" si="59"/>
        <v>1925</v>
      </c>
      <c r="AI94" s="4">
        <f t="shared" si="60"/>
        <v>20</v>
      </c>
      <c r="AJ94" s="4">
        <f t="shared" si="61"/>
        <v>57750</v>
      </c>
      <c r="AK94" s="4">
        <f t="shared" si="62"/>
        <v>2888</v>
      </c>
      <c r="AL94" s="7" t="e">
        <f>怪物难度系数!AC19</f>
        <v>#DIV/0!</v>
      </c>
      <c r="AM94" t="e">
        <f t="shared" si="63"/>
        <v>#DIV/0!</v>
      </c>
    </row>
    <row r="95" customFormat="1" spans="1:39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 t="shared" si="76"/>
        <v>67.5</v>
      </c>
      <c r="P95" s="7">
        <f t="shared" si="77"/>
        <v>40.5</v>
      </c>
      <c r="Q95" s="7">
        <f t="shared" ref="Q95:Q99" si="79">W95/6*(1+1)*(1+1)</f>
        <v>18</v>
      </c>
      <c r="R95" s="7">
        <f t="shared" si="75"/>
        <v>13.5</v>
      </c>
      <c r="S95" s="7">
        <v>0</v>
      </c>
      <c r="T95" s="7">
        <v>0</v>
      </c>
      <c r="U95" s="7">
        <f t="shared" si="78"/>
        <v>112.5</v>
      </c>
      <c r="V95" s="4">
        <v>1.1</v>
      </c>
      <c r="W95" s="7">
        <f t="shared" si="53"/>
        <v>27</v>
      </c>
      <c r="X95" s="4">
        <f t="shared" si="54"/>
        <v>3861.30662965567</v>
      </c>
      <c r="Y95" s="4">
        <f t="shared" si="55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56"/>
        <v>98437.5</v>
      </c>
      <c r="AE95" s="4">
        <f t="shared" si="57"/>
        <v>3609</v>
      </c>
      <c r="AF95" s="4">
        <f t="shared" si="58"/>
        <v>2707</v>
      </c>
      <c r="AG95" s="4">
        <v>0.75</v>
      </c>
      <c r="AH95" s="4">
        <f t="shared" si="59"/>
        <v>2707</v>
      </c>
      <c r="AI95" s="4">
        <f t="shared" si="60"/>
        <v>20</v>
      </c>
      <c r="AJ95" s="4">
        <f t="shared" si="61"/>
        <v>81210</v>
      </c>
      <c r="AK95" s="4">
        <f t="shared" si="62"/>
        <v>4061</v>
      </c>
      <c r="AL95" s="7" t="e">
        <f>怪物难度系数!AC20</f>
        <v>#DIV/0!</v>
      </c>
      <c r="AM95" t="e">
        <f t="shared" si="63"/>
        <v>#DIV/0!</v>
      </c>
    </row>
    <row r="96" customFormat="1" spans="1:39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 t="shared" si="76"/>
        <v>67.5</v>
      </c>
      <c r="P96" s="7">
        <f t="shared" si="77"/>
        <v>40.5</v>
      </c>
      <c r="Q96" s="7">
        <f t="shared" si="79"/>
        <v>18</v>
      </c>
      <c r="R96" s="7">
        <f t="shared" ref="R96:R98" si="80">W96/6*(1+1)*(1+1)</f>
        <v>18</v>
      </c>
      <c r="S96" s="7">
        <v>0</v>
      </c>
      <c r="T96" s="7">
        <v>0</v>
      </c>
      <c r="U96" s="7">
        <f t="shared" si="78"/>
        <v>117</v>
      </c>
      <c r="V96" s="4">
        <v>1.1</v>
      </c>
      <c r="W96" s="7">
        <f t="shared" si="53"/>
        <v>27</v>
      </c>
      <c r="X96" s="4">
        <f t="shared" si="54"/>
        <v>3861.30662965567</v>
      </c>
      <c r="Y96" s="4">
        <f t="shared" si="55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56"/>
        <v>102375</v>
      </c>
      <c r="AE96" s="4">
        <f t="shared" si="57"/>
        <v>3754</v>
      </c>
      <c r="AF96" s="4">
        <f t="shared" si="58"/>
        <v>3003</v>
      </c>
      <c r="AG96" s="4">
        <v>0.8</v>
      </c>
      <c r="AH96" s="4">
        <f t="shared" si="59"/>
        <v>3003</v>
      </c>
      <c r="AI96" s="4">
        <f t="shared" si="60"/>
        <v>20</v>
      </c>
      <c r="AJ96" s="4">
        <f t="shared" si="61"/>
        <v>90090</v>
      </c>
      <c r="AK96" s="4">
        <f t="shared" si="62"/>
        <v>4505</v>
      </c>
      <c r="AL96" s="7" t="e">
        <f>怪物难度系数!AC21</f>
        <v>#DIV/0!</v>
      </c>
      <c r="AM96" t="e">
        <f t="shared" si="63"/>
        <v>#DIV/0!</v>
      </c>
    </row>
    <row r="97" customFormat="1" spans="1:39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 t="shared" si="76"/>
        <v>72.5</v>
      </c>
      <c r="P97" s="7">
        <f t="shared" si="77"/>
        <v>43.5</v>
      </c>
      <c r="Q97" s="7">
        <f t="shared" si="79"/>
        <v>19.3333333333333</v>
      </c>
      <c r="R97" s="7">
        <f t="shared" si="80"/>
        <v>19.3333333333333</v>
      </c>
      <c r="S97" s="7">
        <v>0</v>
      </c>
      <c r="T97" s="7">
        <v>0</v>
      </c>
      <c r="U97" s="7">
        <f t="shared" si="78"/>
        <v>125.666666666667</v>
      </c>
      <c r="V97" s="4">
        <v>1.1</v>
      </c>
      <c r="W97" s="7">
        <f t="shared" si="53"/>
        <v>29</v>
      </c>
      <c r="X97" s="4">
        <f t="shared" si="54"/>
        <v>4518.65937794113</v>
      </c>
      <c r="Y97" s="4">
        <f t="shared" si="55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56"/>
        <v>109958.333333333</v>
      </c>
      <c r="AE97" s="4">
        <f t="shared" si="57"/>
        <v>4032</v>
      </c>
      <c r="AF97" s="4">
        <f t="shared" si="58"/>
        <v>3629</v>
      </c>
      <c r="AG97" s="4">
        <v>0.9</v>
      </c>
      <c r="AH97" s="4">
        <f t="shared" si="59"/>
        <v>3629</v>
      </c>
      <c r="AI97" s="4">
        <f t="shared" si="60"/>
        <v>20</v>
      </c>
      <c r="AJ97" s="4">
        <f t="shared" si="61"/>
        <v>108870</v>
      </c>
      <c r="AK97" s="4">
        <f t="shared" si="62"/>
        <v>5444</v>
      </c>
      <c r="AL97" s="7" t="e">
        <f>怪物难度系数!AC22</f>
        <v>#DIV/0!</v>
      </c>
      <c r="AM97" t="e">
        <f t="shared" si="63"/>
        <v>#DIV/0!</v>
      </c>
    </row>
    <row r="98" customFormat="1" spans="1:39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>W98*(1-(N98-1)/6)*(1+1.5)*(1+1.5)</f>
        <v>96.875</v>
      </c>
      <c r="P98" s="7">
        <f t="shared" si="77"/>
        <v>46.5</v>
      </c>
      <c r="Q98" s="7">
        <f t="shared" si="79"/>
        <v>20.6666666666667</v>
      </c>
      <c r="R98" s="7">
        <f t="shared" si="80"/>
        <v>20.6666666666667</v>
      </c>
      <c r="S98" s="7">
        <v>0</v>
      </c>
      <c r="T98" s="7">
        <v>0</v>
      </c>
      <c r="U98" s="7">
        <f t="shared" si="78"/>
        <v>145.958333333333</v>
      </c>
      <c r="V98" s="4">
        <v>1.1</v>
      </c>
      <c r="W98" s="7">
        <f t="shared" si="53"/>
        <v>31</v>
      </c>
      <c r="X98" s="4">
        <f t="shared" si="54"/>
        <v>6688.53109249344</v>
      </c>
      <c r="Y98" s="4">
        <f t="shared" si="55"/>
        <v>0</v>
      </c>
      <c r="Z98" s="7">
        <v>1</v>
      </c>
      <c r="AA98" s="7">
        <v>30</v>
      </c>
      <c r="AB98" s="7">
        <v>25</v>
      </c>
      <c r="AC98" s="7">
        <v>10</v>
      </c>
      <c r="AD98" s="7">
        <f t="shared" si="56"/>
        <v>127713.541666667</v>
      </c>
      <c r="AE98" s="4">
        <f t="shared" si="57"/>
        <v>4683</v>
      </c>
      <c r="AF98" s="4">
        <f t="shared" si="58"/>
        <v>3980</v>
      </c>
      <c r="AG98" s="4">
        <v>0.85</v>
      </c>
      <c r="AH98" s="4">
        <f t="shared" si="59"/>
        <v>3980</v>
      </c>
      <c r="AI98" s="4">
        <f t="shared" si="60"/>
        <v>20</v>
      </c>
      <c r="AJ98" s="4">
        <f t="shared" si="61"/>
        <v>119400</v>
      </c>
      <c r="AK98" s="4">
        <f t="shared" si="62"/>
        <v>5970</v>
      </c>
      <c r="AL98" s="7" t="e">
        <f>怪物难度系数!AC23</f>
        <v>#DIV/0!</v>
      </c>
      <c r="AM98" t="e">
        <f t="shared" si="63"/>
        <v>#DIV/0!</v>
      </c>
    </row>
    <row r="99" spans="1:39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>W99/N99*(1+1)*(1+0.5)</f>
        <v>0</v>
      </c>
      <c r="P99" s="7">
        <f t="shared" ref="P99:P102" si="81">W99/N99*(1+0.5)*(1+0.5)</f>
        <v>0</v>
      </c>
      <c r="Q99" s="7">
        <f t="shared" si="79"/>
        <v>0</v>
      </c>
      <c r="R99" s="7">
        <f t="shared" ref="R99:R104" si="82">W99/N99*(1+0.5)*(1+0.5)</f>
        <v>0</v>
      </c>
      <c r="S99" s="7">
        <f t="shared" ref="S99:S106" si="83">W99/N99*(1+0.5)*(1+0.5)</f>
        <v>0</v>
      </c>
      <c r="T99" s="7">
        <f t="shared" ref="T99:T108" si="84">W99/N99*(1+0.5)*(1+0.5)</f>
        <v>0</v>
      </c>
      <c r="U99" s="7">
        <f t="shared" ref="U99:U108" si="85">SUM(P99:T99)+O99*1</f>
        <v>0</v>
      </c>
      <c r="V99" s="4">
        <v>1.2</v>
      </c>
      <c r="W99" s="7">
        <f t="shared" ref="W99:W108" si="86">F22</f>
        <v>0</v>
      </c>
      <c r="X99" s="4">
        <f t="shared" si="54"/>
        <v>0</v>
      </c>
      <c r="Y99" s="4">
        <f t="shared" si="55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6"/>
        <v>0</v>
      </c>
      <c r="AE99" s="4">
        <f t="shared" si="57"/>
        <v>0</v>
      </c>
      <c r="AF99" s="4">
        <f t="shared" si="58"/>
        <v>0</v>
      </c>
      <c r="AG99" s="4">
        <v>1</v>
      </c>
      <c r="AH99" s="7">
        <f t="shared" si="59"/>
        <v>0</v>
      </c>
      <c r="AM99">
        <f t="shared" si="63"/>
        <v>0</v>
      </c>
    </row>
    <row r="100" spans="1:39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>W100/N100*(1+1)*(1+0.5)</f>
        <v>0</v>
      </c>
      <c r="P100" s="7">
        <f t="shared" si="81"/>
        <v>0</v>
      </c>
      <c r="Q100" s="7">
        <f t="shared" ref="Q100:Q103" si="87">W100/N100*(1+0.5)*(1+0.5)</f>
        <v>0</v>
      </c>
      <c r="R100" s="7">
        <f t="shared" si="82"/>
        <v>0</v>
      </c>
      <c r="S100" s="7">
        <f t="shared" si="83"/>
        <v>0</v>
      </c>
      <c r="T100" s="7">
        <f t="shared" si="84"/>
        <v>0</v>
      </c>
      <c r="U100" s="7">
        <f t="shared" si="85"/>
        <v>0</v>
      </c>
      <c r="V100" s="4">
        <v>1.2</v>
      </c>
      <c r="W100" s="7">
        <f t="shared" si="86"/>
        <v>0</v>
      </c>
      <c r="X100" s="4">
        <f t="shared" si="54"/>
        <v>0</v>
      </c>
      <c r="Y100" s="4">
        <f t="shared" si="55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6"/>
        <v>0</v>
      </c>
      <c r="AE100" s="4">
        <f t="shared" si="57"/>
        <v>0</v>
      </c>
      <c r="AF100" s="4">
        <f t="shared" si="58"/>
        <v>0</v>
      </c>
      <c r="AG100" s="4">
        <v>1</v>
      </c>
      <c r="AH100" s="7">
        <f t="shared" si="59"/>
        <v>0</v>
      </c>
      <c r="AM100">
        <f t="shared" si="63"/>
        <v>0</v>
      </c>
    </row>
    <row r="101" spans="1:39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ref="O101:O108" si="88">W101/N101*(1+1)*(1+1.5)</f>
        <v>0</v>
      </c>
      <c r="P101" s="7">
        <f t="shared" si="81"/>
        <v>0</v>
      </c>
      <c r="Q101" s="7">
        <f t="shared" si="87"/>
        <v>0</v>
      </c>
      <c r="R101" s="7">
        <f t="shared" si="82"/>
        <v>0</v>
      </c>
      <c r="S101" s="7">
        <f t="shared" si="83"/>
        <v>0</v>
      </c>
      <c r="T101" s="7">
        <f t="shared" si="84"/>
        <v>0</v>
      </c>
      <c r="U101" s="7">
        <f t="shared" si="85"/>
        <v>0</v>
      </c>
      <c r="V101" s="4">
        <v>1.2</v>
      </c>
      <c r="W101" s="7">
        <f t="shared" si="86"/>
        <v>0</v>
      </c>
      <c r="X101" s="4">
        <f t="shared" si="54"/>
        <v>0</v>
      </c>
      <c r="Y101" s="4">
        <f t="shared" si="55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6"/>
        <v>0</v>
      </c>
      <c r="AE101" s="4">
        <f t="shared" si="57"/>
        <v>0</v>
      </c>
      <c r="AF101" s="4">
        <f t="shared" si="58"/>
        <v>0</v>
      </c>
      <c r="AG101" s="4">
        <v>1</v>
      </c>
      <c r="AH101" s="7">
        <f t="shared" si="59"/>
        <v>0</v>
      </c>
      <c r="AM101">
        <f t="shared" si="63"/>
        <v>0</v>
      </c>
    </row>
    <row r="102" spans="1:39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88"/>
        <v>0</v>
      </c>
      <c r="P102" s="7">
        <f t="shared" si="81"/>
        <v>0</v>
      </c>
      <c r="Q102" s="7">
        <f t="shared" si="87"/>
        <v>0</v>
      </c>
      <c r="R102" s="7">
        <f t="shared" si="82"/>
        <v>0</v>
      </c>
      <c r="S102" s="7">
        <f t="shared" si="83"/>
        <v>0</v>
      </c>
      <c r="T102" s="7">
        <f t="shared" si="84"/>
        <v>0</v>
      </c>
      <c r="U102" s="7">
        <f t="shared" si="85"/>
        <v>0</v>
      </c>
      <c r="V102" s="4">
        <v>1.2</v>
      </c>
      <c r="W102" s="7">
        <f t="shared" si="86"/>
        <v>0</v>
      </c>
      <c r="X102" s="4">
        <f t="shared" si="54"/>
        <v>0</v>
      </c>
      <c r="Y102" s="4">
        <f t="shared" si="55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6"/>
        <v>0</v>
      </c>
      <c r="AE102" s="4">
        <f t="shared" si="57"/>
        <v>0</v>
      </c>
      <c r="AF102" s="4">
        <f t="shared" si="58"/>
        <v>0</v>
      </c>
      <c r="AG102" s="4">
        <v>1</v>
      </c>
      <c r="AH102" s="7">
        <f t="shared" si="59"/>
        <v>0</v>
      </c>
      <c r="AM102">
        <f t="shared" si="63"/>
        <v>0</v>
      </c>
    </row>
    <row r="103" spans="1:39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88"/>
        <v>0</v>
      </c>
      <c r="P103" s="7">
        <f t="shared" ref="P103:P108" si="89">W103/N103*(1+1)*(1+0.5)</f>
        <v>0</v>
      </c>
      <c r="Q103" s="7">
        <f t="shared" si="87"/>
        <v>0</v>
      </c>
      <c r="R103" s="7">
        <f t="shared" si="82"/>
        <v>0</v>
      </c>
      <c r="S103" s="7">
        <f t="shared" si="83"/>
        <v>0</v>
      </c>
      <c r="T103" s="7">
        <f t="shared" si="84"/>
        <v>0</v>
      </c>
      <c r="U103" s="7">
        <f t="shared" si="85"/>
        <v>0</v>
      </c>
      <c r="V103" s="4">
        <v>1.3</v>
      </c>
      <c r="W103" s="7">
        <f t="shared" si="86"/>
        <v>0</v>
      </c>
      <c r="X103" s="4">
        <f t="shared" si="54"/>
        <v>0</v>
      </c>
      <c r="Y103" s="4">
        <f t="shared" si="55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6"/>
        <v>0</v>
      </c>
      <c r="AE103" s="4">
        <f t="shared" si="57"/>
        <v>0</v>
      </c>
      <c r="AF103" s="4">
        <f t="shared" si="58"/>
        <v>0</v>
      </c>
      <c r="AG103" s="4">
        <v>1</v>
      </c>
      <c r="AH103" s="7">
        <f t="shared" si="59"/>
        <v>0</v>
      </c>
      <c r="AM103">
        <f t="shared" si="63"/>
        <v>0</v>
      </c>
    </row>
    <row r="104" spans="1:39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6</v>
      </c>
      <c r="O104" s="4">
        <f t="shared" si="88"/>
        <v>0</v>
      </c>
      <c r="P104" s="7">
        <f t="shared" si="89"/>
        <v>0</v>
      </c>
      <c r="Q104" s="7">
        <f t="shared" ref="Q104:Q108" si="90">W104/N104*(1+1)*(1+0.5)</f>
        <v>0</v>
      </c>
      <c r="R104" s="7">
        <f t="shared" si="82"/>
        <v>0</v>
      </c>
      <c r="S104" s="7">
        <f t="shared" si="83"/>
        <v>0</v>
      </c>
      <c r="T104" s="7">
        <f t="shared" si="84"/>
        <v>0</v>
      </c>
      <c r="U104" s="7">
        <f t="shared" si="85"/>
        <v>0</v>
      </c>
      <c r="V104" s="4">
        <v>1.3</v>
      </c>
      <c r="W104" s="7">
        <f t="shared" si="86"/>
        <v>0</v>
      </c>
      <c r="X104" s="4">
        <f t="shared" si="54"/>
        <v>0</v>
      </c>
      <c r="Y104" s="4">
        <f t="shared" si="55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6"/>
        <v>0</v>
      </c>
      <c r="AE104" s="4">
        <f t="shared" si="57"/>
        <v>0</v>
      </c>
      <c r="AF104" s="4">
        <f t="shared" si="58"/>
        <v>0</v>
      </c>
      <c r="AG104" s="4">
        <v>1</v>
      </c>
      <c r="AH104" s="7">
        <f t="shared" si="59"/>
        <v>0</v>
      </c>
      <c r="AM104">
        <f t="shared" si="63"/>
        <v>0</v>
      </c>
    </row>
    <row r="105" spans="1:39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6</v>
      </c>
      <c r="O105" s="4">
        <f t="shared" si="88"/>
        <v>0</v>
      </c>
      <c r="P105" s="7">
        <f t="shared" si="89"/>
        <v>0</v>
      </c>
      <c r="Q105" s="7">
        <f t="shared" si="90"/>
        <v>0</v>
      </c>
      <c r="R105" s="7">
        <f t="shared" ref="R105:R108" si="91">W105/N105*(1+1)*(1+0.5)</f>
        <v>0</v>
      </c>
      <c r="S105" s="7">
        <f t="shared" si="83"/>
        <v>0</v>
      </c>
      <c r="T105" s="7">
        <f t="shared" si="84"/>
        <v>0</v>
      </c>
      <c r="U105" s="7">
        <f t="shared" si="85"/>
        <v>0</v>
      </c>
      <c r="V105" s="4">
        <v>1.3</v>
      </c>
      <c r="W105" s="7">
        <f t="shared" si="86"/>
        <v>0</v>
      </c>
      <c r="X105" s="4">
        <f t="shared" si="54"/>
        <v>0</v>
      </c>
      <c r="Y105" s="4">
        <f t="shared" si="55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6"/>
        <v>0</v>
      </c>
      <c r="AE105" s="4">
        <f t="shared" si="57"/>
        <v>0</v>
      </c>
      <c r="AF105" s="4">
        <f t="shared" si="58"/>
        <v>0</v>
      </c>
      <c r="AG105" s="4">
        <v>1</v>
      </c>
      <c r="AH105" s="7">
        <f t="shared" si="59"/>
        <v>0</v>
      </c>
      <c r="AM105">
        <f t="shared" si="63"/>
        <v>0</v>
      </c>
    </row>
    <row r="106" spans="1:39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6</v>
      </c>
      <c r="O106" s="4">
        <f t="shared" si="88"/>
        <v>0</v>
      </c>
      <c r="P106" s="7">
        <f t="shared" si="89"/>
        <v>0</v>
      </c>
      <c r="Q106" s="7">
        <f t="shared" si="90"/>
        <v>0</v>
      </c>
      <c r="R106" s="7">
        <f t="shared" si="91"/>
        <v>0</v>
      </c>
      <c r="S106" s="7">
        <f t="shared" si="83"/>
        <v>0</v>
      </c>
      <c r="T106" s="7">
        <f t="shared" si="84"/>
        <v>0</v>
      </c>
      <c r="U106" s="7">
        <f t="shared" si="85"/>
        <v>0</v>
      </c>
      <c r="V106" s="4">
        <v>1.3</v>
      </c>
      <c r="W106" s="7">
        <f t="shared" si="86"/>
        <v>0</v>
      </c>
      <c r="X106" s="4">
        <f t="shared" si="54"/>
        <v>0</v>
      </c>
      <c r="Y106" s="4">
        <f t="shared" si="55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6"/>
        <v>0</v>
      </c>
      <c r="AE106" s="4">
        <f t="shared" si="57"/>
        <v>0</v>
      </c>
      <c r="AF106" s="4">
        <f t="shared" si="58"/>
        <v>0</v>
      </c>
      <c r="AG106" s="4">
        <v>1</v>
      </c>
      <c r="AH106" s="7">
        <f t="shared" si="59"/>
        <v>0</v>
      </c>
      <c r="AM106">
        <f t="shared" si="63"/>
        <v>0</v>
      </c>
    </row>
    <row r="107" spans="1:39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6</v>
      </c>
      <c r="O107" s="4">
        <f t="shared" si="88"/>
        <v>0</v>
      </c>
      <c r="P107" s="7">
        <f t="shared" si="89"/>
        <v>0</v>
      </c>
      <c r="Q107" s="7">
        <f t="shared" si="90"/>
        <v>0</v>
      </c>
      <c r="R107" s="7">
        <f t="shared" si="91"/>
        <v>0</v>
      </c>
      <c r="S107" s="7">
        <f>W107/N107*(1+1)*(1+0.5)</f>
        <v>0</v>
      </c>
      <c r="T107" s="7">
        <f t="shared" si="84"/>
        <v>0</v>
      </c>
      <c r="U107" s="7">
        <f t="shared" si="85"/>
        <v>0</v>
      </c>
      <c r="V107" s="4">
        <v>1.3</v>
      </c>
      <c r="W107" s="7">
        <f t="shared" si="86"/>
        <v>0</v>
      </c>
      <c r="X107" s="4">
        <f t="shared" si="54"/>
        <v>0</v>
      </c>
      <c r="Y107" s="4">
        <f t="shared" si="55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6"/>
        <v>0</v>
      </c>
      <c r="AE107" s="4">
        <f t="shared" si="57"/>
        <v>0</v>
      </c>
      <c r="AF107" s="4">
        <f t="shared" si="58"/>
        <v>0</v>
      </c>
      <c r="AG107" s="4">
        <v>1</v>
      </c>
      <c r="AH107" s="7">
        <f t="shared" si="59"/>
        <v>0</v>
      </c>
      <c r="AM107">
        <f t="shared" si="63"/>
        <v>0</v>
      </c>
    </row>
    <row r="108" spans="1:39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6</v>
      </c>
      <c r="O108" s="4">
        <f t="shared" si="88"/>
        <v>0</v>
      </c>
      <c r="P108" s="7">
        <f t="shared" si="89"/>
        <v>0</v>
      </c>
      <c r="Q108" s="7">
        <f t="shared" si="90"/>
        <v>0</v>
      </c>
      <c r="R108" s="7">
        <f t="shared" si="91"/>
        <v>0</v>
      </c>
      <c r="S108" s="7">
        <f>W108/N108*(1+1)*(1+0.5)</f>
        <v>0</v>
      </c>
      <c r="T108" s="7">
        <f t="shared" si="84"/>
        <v>0</v>
      </c>
      <c r="U108" s="7">
        <f t="shared" si="85"/>
        <v>0</v>
      </c>
      <c r="V108" s="4">
        <v>1.4</v>
      </c>
      <c r="W108" s="7">
        <f t="shared" si="86"/>
        <v>0</v>
      </c>
      <c r="X108" s="4">
        <f t="shared" si="54"/>
        <v>0</v>
      </c>
      <c r="Y108" s="4">
        <f t="shared" si="55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6"/>
        <v>0</v>
      </c>
      <c r="AE108" s="4">
        <f t="shared" si="57"/>
        <v>0</v>
      </c>
      <c r="AF108" s="4">
        <f t="shared" si="58"/>
        <v>0</v>
      </c>
      <c r="AG108" s="4">
        <v>1</v>
      </c>
      <c r="AH108" s="7">
        <f t="shared" si="59"/>
        <v>0</v>
      </c>
      <c r="AM108">
        <f t="shared" si="63"/>
        <v>0</v>
      </c>
    </row>
    <row r="109" spans="15:34">
      <c r="O109" s="4"/>
      <c r="P109" s="4"/>
      <c r="AH109" s="7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11"/>
  <sheetViews>
    <sheetView workbookViewId="0">
      <selection activeCell="AH79" sqref="AH79:AH98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29" max="29" width="8.88888888888889" style="7"/>
    <col min="30" max="30" width="12.8888888888889"/>
    <col min="35" max="39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628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301</v>
      </c>
      <c r="Y1" s="7">
        <v>3</v>
      </c>
      <c r="Z1" s="4">
        <v>302</v>
      </c>
      <c r="AA1" s="7">
        <v>303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v>5</v>
      </c>
      <c r="D2" s="7">
        <v>0</v>
      </c>
      <c r="E2" s="7">
        <f t="shared" ref="E2:E11" si="0">INDEX($B$39:$B$49,MATCH(D2,$A$39:$A$49,0))</f>
        <v>1</v>
      </c>
      <c r="F2" s="7">
        <f t="shared" ref="F2:F33" si="1">ROUND(C2*$Y$6/100,0)</f>
        <v>4</v>
      </c>
      <c r="G2" s="7">
        <f t="shared" ref="G2:G11" si="2">E2*F2/2</f>
        <v>2</v>
      </c>
      <c r="H2" s="7">
        <v>1</v>
      </c>
      <c r="I2" s="7"/>
      <c r="J2" s="7"/>
      <c r="K2" s="7"/>
      <c r="L2" s="7"/>
      <c r="M2" s="7">
        <v>0</v>
      </c>
      <c r="N2" s="7">
        <f>IF(A2&lt;5,$X$1,IF(A2&gt;10,$AA$1,$Z$1))</f>
        <v>301</v>
      </c>
      <c r="O2" s="7">
        <v>15</v>
      </c>
      <c r="P2" s="7">
        <v>10001</v>
      </c>
      <c r="Q2" s="7">
        <v>1</v>
      </c>
      <c r="R2" s="7"/>
      <c r="S2" s="7">
        <f t="shared" ref="S2:S21" si="3">SUM(J2,Q2,,O2,L2)</f>
        <v>16</v>
      </c>
      <c r="T2" s="7"/>
      <c r="U2" s="7">
        <f t="shared" ref="U2:U21" si="4">SUM(J2,L2)+15</f>
        <v>15</v>
      </c>
      <c r="V2" s="7">
        <v>2</v>
      </c>
      <c r="W2" s="4" t="s">
        <v>577</v>
      </c>
      <c r="X2" s="8">
        <v>305</v>
      </c>
      <c r="Y2" s="4">
        <v>5</v>
      </c>
      <c r="AA2" s="7"/>
      <c r="AB2" s="4">
        <v>100</v>
      </c>
      <c r="AC2" s="7">
        <v>50</v>
      </c>
    </row>
    <row r="3" spans="1:27">
      <c r="A3" s="7">
        <v>2</v>
      </c>
      <c r="B3" s="7">
        <f>B2+$AB$2+20</f>
        <v>220</v>
      </c>
      <c r="C3" s="7">
        <v>10</v>
      </c>
      <c r="D3" s="7">
        <v>0</v>
      </c>
      <c r="E3" s="7">
        <f t="shared" si="0"/>
        <v>1</v>
      </c>
      <c r="F3" s="7">
        <f t="shared" si="1"/>
        <v>8</v>
      </c>
      <c r="G3" s="7">
        <f t="shared" si="2"/>
        <v>4</v>
      </c>
      <c r="H3" s="7">
        <v>1</v>
      </c>
      <c r="I3" s="7"/>
      <c r="J3" s="7"/>
      <c r="K3" s="7"/>
      <c r="L3" s="7"/>
      <c r="M3" s="7">
        <v>0</v>
      </c>
      <c r="N3" s="7">
        <f>IF(A3&lt;5,$X$1,IF(A3&gt;10,$AA$1,$Z$1))</f>
        <v>301</v>
      </c>
      <c r="O3" s="7">
        <v>15</v>
      </c>
      <c r="P3" s="7" t="str">
        <f>IF(H3=1,"",INDEX($X$1:$X$3,MATCH(H3,$V$1:$V$3,0)))</f>
        <v/>
      </c>
      <c r="Q3" s="7" t="str">
        <f>IF(H3=1,"",IF(H3=2,5,1))</f>
        <v/>
      </c>
      <c r="R3" s="7"/>
      <c r="S3" s="7">
        <f t="shared" si="3"/>
        <v>15</v>
      </c>
      <c r="T3" s="7"/>
      <c r="U3" s="7">
        <f t="shared" si="4"/>
        <v>15</v>
      </c>
      <c r="V3" s="7">
        <v>3</v>
      </c>
      <c r="W3" s="4" t="s">
        <v>578</v>
      </c>
      <c r="X3" s="8">
        <v>306</v>
      </c>
      <c r="Y3" s="7">
        <v>10</v>
      </c>
      <c r="AA3" s="7"/>
    </row>
    <row r="4" spans="1:27">
      <c r="A4" s="7">
        <v>3</v>
      </c>
      <c r="B4" s="7">
        <f>B3+$AB$2+20</f>
        <v>340</v>
      </c>
      <c r="C4" s="7">
        <v>15</v>
      </c>
      <c r="D4" s="7">
        <v>1</v>
      </c>
      <c r="E4" s="7">
        <f t="shared" si="0"/>
        <v>1.5</v>
      </c>
      <c r="F4" s="7">
        <f t="shared" si="1"/>
        <v>12</v>
      </c>
      <c r="G4" s="7">
        <f t="shared" si="2"/>
        <v>9</v>
      </c>
      <c r="H4" s="7">
        <v>1</v>
      </c>
      <c r="I4" s="7"/>
      <c r="J4" s="7"/>
      <c r="K4" s="7"/>
      <c r="L4" s="7"/>
      <c r="M4" s="7">
        <v>0</v>
      </c>
      <c r="N4" s="7">
        <f>IF(A4&lt;5,$X$1,IF(A4&gt;10,$AA$1,$Z$1))</f>
        <v>301</v>
      </c>
      <c r="O4" s="7">
        <v>15</v>
      </c>
      <c r="P4" s="7"/>
      <c r="Q4" s="7"/>
      <c r="R4" s="7">
        <v>80</v>
      </c>
      <c r="S4" s="7">
        <f t="shared" si="3"/>
        <v>15</v>
      </c>
      <c r="T4" s="7"/>
      <c r="U4" s="7">
        <f t="shared" si="4"/>
        <v>15</v>
      </c>
      <c r="V4" s="7"/>
      <c r="W4" s="4"/>
      <c r="X4" s="4"/>
      <c r="Y4" s="4"/>
      <c r="AA4" s="7"/>
    </row>
    <row r="5" spans="1:27">
      <c r="A5" s="7">
        <v>4</v>
      </c>
      <c r="B5" s="7">
        <f>B4+$AB$2+20</f>
        <v>460</v>
      </c>
      <c r="C5" s="7">
        <v>20</v>
      </c>
      <c r="D5" s="7">
        <v>1</v>
      </c>
      <c r="E5" s="7">
        <f t="shared" si="0"/>
        <v>1.5</v>
      </c>
      <c r="F5" s="7">
        <f t="shared" si="1"/>
        <v>16</v>
      </c>
      <c r="G5" s="7">
        <f t="shared" si="2"/>
        <v>12</v>
      </c>
      <c r="H5" s="7">
        <v>1</v>
      </c>
      <c r="I5" s="7"/>
      <c r="J5" s="7"/>
      <c r="K5" s="7"/>
      <c r="L5" s="7"/>
      <c r="M5" s="7">
        <v>20</v>
      </c>
      <c r="N5" s="7">
        <f>IF(A5&lt;5,$X$1,IF(A5&gt;10,$AA$1,$Z$1))</f>
        <v>301</v>
      </c>
      <c r="O5" s="7">
        <v>15</v>
      </c>
      <c r="P5" s="7"/>
      <c r="Q5" s="7"/>
      <c r="R5" s="7">
        <v>80</v>
      </c>
      <c r="S5" s="7">
        <f t="shared" si="3"/>
        <v>15</v>
      </c>
      <c r="T5" s="7"/>
      <c r="U5" s="7">
        <f t="shared" si="4"/>
        <v>15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B5+$AB$2+20</f>
        <v>580</v>
      </c>
      <c r="C6" s="7">
        <v>25</v>
      </c>
      <c r="D6" s="7">
        <v>2</v>
      </c>
      <c r="E6" s="7">
        <f t="shared" si="0"/>
        <v>2.25</v>
      </c>
      <c r="F6" s="7">
        <f t="shared" si="1"/>
        <v>20</v>
      </c>
      <c r="G6" s="7">
        <f t="shared" si="2"/>
        <v>22.5</v>
      </c>
      <c r="H6" s="7">
        <v>2</v>
      </c>
      <c r="I6" s="7"/>
      <c r="J6" s="7"/>
      <c r="K6" s="7"/>
      <c r="L6" s="7"/>
      <c r="M6" s="7">
        <v>40</v>
      </c>
      <c r="N6" s="7">
        <f>IF(A6&lt;5,$X$1,IF(A6&gt;10,$AA$1,$Z$1))</f>
        <v>302</v>
      </c>
      <c r="O6" s="7">
        <v>15</v>
      </c>
      <c r="P6" s="7"/>
      <c r="Q6" s="7"/>
      <c r="R6" s="7">
        <v>80</v>
      </c>
      <c r="S6" s="7">
        <f t="shared" si="3"/>
        <v>15</v>
      </c>
      <c r="T6" s="7"/>
      <c r="U6" s="7">
        <f t="shared" si="4"/>
        <v>15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5">ROUND(85*Y6/100,0)</f>
        <v>68</v>
      </c>
      <c r="AA6" s="7">
        <f t="shared" ref="AA6:AA10" si="6">ROUND($W$13*Y6/100,0)</f>
        <v>48</v>
      </c>
    </row>
    <row r="7" spans="1:27">
      <c r="A7" s="7">
        <v>6</v>
      </c>
      <c r="B7" s="7">
        <f>B6+$AB$2+20</f>
        <v>700</v>
      </c>
      <c r="C7" s="7">
        <v>30</v>
      </c>
      <c r="D7" s="7">
        <v>2</v>
      </c>
      <c r="E7" s="7">
        <f t="shared" si="0"/>
        <v>2.25</v>
      </c>
      <c r="F7" s="7">
        <f t="shared" si="1"/>
        <v>24</v>
      </c>
      <c r="G7" s="7">
        <f t="shared" si="2"/>
        <v>27</v>
      </c>
      <c r="H7" s="7">
        <v>1</v>
      </c>
      <c r="I7" s="7"/>
      <c r="J7" s="7"/>
      <c r="K7" s="7"/>
      <c r="L7" s="7"/>
      <c r="M7" s="7">
        <v>60</v>
      </c>
      <c r="N7" s="7">
        <f>IF(A7&lt;5,$X$1,IF(A7&gt;10,$AA$1,$Z$1))</f>
        <v>302</v>
      </c>
      <c r="O7" s="7">
        <v>15</v>
      </c>
      <c r="P7" s="7"/>
      <c r="Q7" s="7"/>
      <c r="R7" s="7">
        <f t="shared" ref="R7:R21" si="7">R4+80</f>
        <v>160</v>
      </c>
      <c r="S7" s="7">
        <f t="shared" si="3"/>
        <v>15</v>
      </c>
      <c r="T7" s="7"/>
      <c r="U7" s="7">
        <f t="shared" si="4"/>
        <v>15</v>
      </c>
      <c r="V7" s="7">
        <v>2</v>
      </c>
      <c r="W7" s="7" t="s">
        <v>583</v>
      </c>
      <c r="X7" s="7">
        <v>90</v>
      </c>
      <c r="Y7" s="4">
        <v>3</v>
      </c>
      <c r="Z7" s="7">
        <f t="shared" si="5"/>
        <v>3</v>
      </c>
      <c r="AA7" s="7">
        <f t="shared" si="6"/>
        <v>2</v>
      </c>
    </row>
    <row r="8" spans="1:27">
      <c r="A8" s="7">
        <v>7</v>
      </c>
      <c r="B8" s="7">
        <f>B7+$AB$2+20</f>
        <v>820</v>
      </c>
      <c r="C8" s="7">
        <v>35</v>
      </c>
      <c r="D8" s="7">
        <v>3</v>
      </c>
      <c r="E8" s="7">
        <f t="shared" si="0"/>
        <v>3</v>
      </c>
      <c r="F8" s="7">
        <f t="shared" si="1"/>
        <v>28</v>
      </c>
      <c r="G8" s="7">
        <f t="shared" si="2"/>
        <v>42</v>
      </c>
      <c r="H8" s="7">
        <v>1</v>
      </c>
      <c r="I8" s="7"/>
      <c r="J8" s="7"/>
      <c r="K8" s="7"/>
      <c r="L8" s="7"/>
      <c r="M8" s="7">
        <v>80</v>
      </c>
      <c r="N8" s="7">
        <f>IF(A8&lt;5,$X$1,IF(A8&gt;10,$AA$1,$Z$1))</f>
        <v>302</v>
      </c>
      <c r="O8" s="7">
        <v>15</v>
      </c>
      <c r="P8" s="7"/>
      <c r="Q8" s="7"/>
      <c r="R8" s="7">
        <f t="shared" si="7"/>
        <v>160</v>
      </c>
      <c r="S8" s="7">
        <f t="shared" si="3"/>
        <v>15</v>
      </c>
      <c r="T8" s="7"/>
      <c r="U8" s="7">
        <f t="shared" si="4"/>
        <v>15</v>
      </c>
      <c r="V8" s="7">
        <v>3</v>
      </c>
      <c r="W8" s="7" t="s">
        <v>584</v>
      </c>
      <c r="X8" s="7">
        <v>50</v>
      </c>
      <c r="Y8" s="4">
        <v>3</v>
      </c>
      <c r="Z8" s="7">
        <f t="shared" si="5"/>
        <v>3</v>
      </c>
      <c r="AA8" s="7">
        <f t="shared" si="6"/>
        <v>2</v>
      </c>
    </row>
    <row r="9" spans="1:27">
      <c r="A9" s="7">
        <v>8</v>
      </c>
      <c r="B9" s="7">
        <f>B8+$AB$2+20</f>
        <v>940</v>
      </c>
      <c r="C9" s="7">
        <v>40</v>
      </c>
      <c r="D9" s="7">
        <v>3</v>
      </c>
      <c r="E9" s="7">
        <f t="shared" si="0"/>
        <v>3</v>
      </c>
      <c r="F9" s="7">
        <f t="shared" si="1"/>
        <v>32</v>
      </c>
      <c r="G9" s="7">
        <f t="shared" si="2"/>
        <v>48</v>
      </c>
      <c r="H9" s="7">
        <v>1</v>
      </c>
      <c r="I9" s="7"/>
      <c r="J9" s="7"/>
      <c r="K9" s="7"/>
      <c r="L9" s="7"/>
      <c r="M9" s="7">
        <v>110</v>
      </c>
      <c r="N9" s="7">
        <f>IF(A9&lt;5,$X$1,IF(A9&gt;10,$AA$1,$Z$1))</f>
        <v>302</v>
      </c>
      <c r="O9" s="7">
        <v>15</v>
      </c>
      <c r="P9" s="7"/>
      <c r="Q9" s="7"/>
      <c r="R9" s="7">
        <f t="shared" si="7"/>
        <v>160</v>
      </c>
      <c r="S9" s="7">
        <f t="shared" si="3"/>
        <v>15</v>
      </c>
      <c r="T9" s="7"/>
      <c r="U9" s="7">
        <f t="shared" si="4"/>
        <v>15</v>
      </c>
      <c r="V9" s="7">
        <v>4</v>
      </c>
      <c r="W9" s="7" t="s">
        <v>585</v>
      </c>
      <c r="X9" s="7">
        <v>35</v>
      </c>
      <c r="Y9" s="4">
        <v>6</v>
      </c>
      <c r="Z9" s="7">
        <f t="shared" si="5"/>
        <v>5</v>
      </c>
      <c r="AA9" s="7">
        <f t="shared" si="6"/>
        <v>4</v>
      </c>
    </row>
    <row r="10" spans="1:27">
      <c r="A10" s="7">
        <v>9</v>
      </c>
      <c r="B10" s="7">
        <f>B9+$AB$2+20</f>
        <v>1060</v>
      </c>
      <c r="C10" s="7">
        <v>45</v>
      </c>
      <c r="D10" s="7">
        <v>4</v>
      </c>
      <c r="E10" s="7">
        <f t="shared" si="0"/>
        <v>3.75</v>
      </c>
      <c r="F10" s="7">
        <f t="shared" si="1"/>
        <v>36</v>
      </c>
      <c r="G10" s="7">
        <f t="shared" si="2"/>
        <v>67.5</v>
      </c>
      <c r="H10" s="7">
        <v>1</v>
      </c>
      <c r="I10" s="7"/>
      <c r="J10" s="7"/>
      <c r="K10" s="7"/>
      <c r="L10" s="7"/>
      <c r="M10" s="7">
        <v>140</v>
      </c>
      <c r="N10" s="7">
        <f>IF(A10&lt;5,$X$1,IF(A10&gt;10,$AA$1,$Z$1))</f>
        <v>302</v>
      </c>
      <c r="O10" s="7">
        <v>15</v>
      </c>
      <c r="P10" s="7"/>
      <c r="Q10" s="7"/>
      <c r="R10" s="7">
        <f t="shared" si="7"/>
        <v>240</v>
      </c>
      <c r="S10" s="7">
        <f t="shared" si="3"/>
        <v>15</v>
      </c>
      <c r="T10" s="7"/>
      <c r="U10" s="7">
        <f t="shared" si="4"/>
        <v>15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5"/>
        <v>7</v>
      </c>
      <c r="AA10" s="7">
        <f t="shared" si="6"/>
        <v>5</v>
      </c>
    </row>
    <row r="11" spans="1:27">
      <c r="A11" s="7">
        <v>10</v>
      </c>
      <c r="B11" s="7">
        <f>B10+$AB$2+20</f>
        <v>1180</v>
      </c>
      <c r="C11" s="7">
        <v>50</v>
      </c>
      <c r="D11" s="7">
        <v>6</v>
      </c>
      <c r="E11" s="7">
        <f t="shared" si="0"/>
        <v>5</v>
      </c>
      <c r="F11" s="7">
        <f t="shared" si="1"/>
        <v>40</v>
      </c>
      <c r="G11" s="7">
        <f t="shared" si="2"/>
        <v>100</v>
      </c>
      <c r="H11" s="7">
        <v>3</v>
      </c>
      <c r="I11" s="7"/>
      <c r="J11" s="7"/>
      <c r="K11" s="7"/>
      <c r="L11" s="7"/>
      <c r="M11" s="7">
        <v>180</v>
      </c>
      <c r="N11" s="7">
        <f>IF(A11&lt;5,$X$1,IF(A11&gt;10,$AA$1,$Z$1))</f>
        <v>302</v>
      </c>
      <c r="O11" s="7">
        <v>15</v>
      </c>
      <c r="P11" s="7"/>
      <c r="Q11" s="7"/>
      <c r="R11" s="7">
        <f t="shared" si="7"/>
        <v>240</v>
      </c>
      <c r="S11" s="7">
        <f t="shared" si="3"/>
        <v>15</v>
      </c>
      <c r="T11" s="7"/>
      <c r="U11" s="7">
        <f t="shared" si="4"/>
        <v>15</v>
      </c>
      <c r="V11" s="7"/>
      <c r="Y11" s="4"/>
      <c r="AA11" s="7"/>
    </row>
    <row r="12" spans="1:27">
      <c r="A12" s="7">
        <v>11</v>
      </c>
      <c r="B12" s="7">
        <f>B11+$AB$2+20</f>
        <v>1300</v>
      </c>
      <c r="C12" s="7">
        <v>55</v>
      </c>
      <c r="D12" s="7">
        <v>5</v>
      </c>
      <c r="E12" s="7"/>
      <c r="F12" s="7">
        <f t="shared" si="1"/>
        <v>44</v>
      </c>
      <c r="G12" s="7">
        <f t="shared" ref="G12:G14" si="8">($G$15-$G$11)/4+G11</f>
        <v>91.2</v>
      </c>
      <c r="H12" s="7">
        <v>1</v>
      </c>
      <c r="I12" s="7"/>
      <c r="J12" s="7"/>
      <c r="K12" s="7"/>
      <c r="L12" s="7"/>
      <c r="M12" s="7">
        <v>220</v>
      </c>
      <c r="N12" s="7">
        <f>IF(A12&lt;5,$X$1,IF(A12&gt;10,$AA$1,$Z$1))</f>
        <v>303</v>
      </c>
      <c r="O12" s="7">
        <v>20</v>
      </c>
      <c r="P12" s="7"/>
      <c r="Q12" s="7"/>
      <c r="R12" s="7">
        <f t="shared" si="7"/>
        <v>240</v>
      </c>
      <c r="S12" s="7">
        <f t="shared" si="3"/>
        <v>20</v>
      </c>
      <c r="T12" s="7"/>
      <c r="U12" s="7">
        <f t="shared" si="4"/>
        <v>15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>B12+$AB$2+20</f>
        <v>1420</v>
      </c>
      <c r="C13" s="7">
        <v>60</v>
      </c>
      <c r="D13" s="7">
        <v>8</v>
      </c>
      <c r="E13" s="7"/>
      <c r="F13" s="7">
        <f t="shared" si="1"/>
        <v>48</v>
      </c>
      <c r="G13" s="7">
        <f t="shared" si="8"/>
        <v>82.4</v>
      </c>
      <c r="H13" s="7">
        <v>1</v>
      </c>
      <c r="I13" s="7"/>
      <c r="J13" s="7"/>
      <c r="K13" s="7"/>
      <c r="L13" s="7"/>
      <c r="M13" s="7">
        <v>270</v>
      </c>
      <c r="N13" s="7">
        <f>IF(A13&lt;5,$X$1,IF(A13&gt;10,$AA$1,$Z$1))</f>
        <v>303</v>
      </c>
      <c r="O13" s="7">
        <v>20</v>
      </c>
      <c r="P13" s="7"/>
      <c r="Q13" s="7"/>
      <c r="R13" s="7">
        <f t="shared" si="7"/>
        <v>320</v>
      </c>
      <c r="S13" s="7">
        <f t="shared" si="3"/>
        <v>20</v>
      </c>
      <c r="T13" s="7"/>
      <c r="U13" s="7">
        <f t="shared" si="4"/>
        <v>15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>B13+$AB$2+20</f>
        <v>1540</v>
      </c>
      <c r="C14" s="7">
        <v>65</v>
      </c>
      <c r="D14" s="7">
        <v>9</v>
      </c>
      <c r="E14" s="7"/>
      <c r="F14" s="7">
        <f t="shared" si="1"/>
        <v>52</v>
      </c>
      <c r="G14" s="7">
        <f t="shared" si="8"/>
        <v>73.6</v>
      </c>
      <c r="H14" s="7">
        <v>1</v>
      </c>
      <c r="I14" s="7"/>
      <c r="J14" s="7"/>
      <c r="K14" s="7"/>
      <c r="L14" s="7"/>
      <c r="M14" s="7">
        <v>320</v>
      </c>
      <c r="N14" s="7">
        <f>IF(A14&lt;5,$X$1,IF(A14&gt;10,$AA$1,$Z$1))</f>
        <v>303</v>
      </c>
      <c r="O14" s="7">
        <v>20</v>
      </c>
      <c r="P14" s="7"/>
      <c r="Q14" s="7"/>
      <c r="R14" s="7">
        <f t="shared" si="7"/>
        <v>320</v>
      </c>
      <c r="S14" s="7">
        <f t="shared" si="3"/>
        <v>20</v>
      </c>
      <c r="T14" s="7"/>
      <c r="U14" s="7">
        <f t="shared" si="4"/>
        <v>15</v>
      </c>
      <c r="V14" s="7"/>
      <c r="Y14" s="4"/>
      <c r="AA14" s="7"/>
    </row>
    <row r="15" spans="1:27">
      <c r="A15" s="7">
        <v>14</v>
      </c>
      <c r="B15" s="7">
        <f>B14+$AB$2+20</f>
        <v>1660</v>
      </c>
      <c r="C15" s="7">
        <v>70</v>
      </c>
      <c r="D15" s="7">
        <v>10</v>
      </c>
      <c r="E15" s="7"/>
      <c r="F15" s="7">
        <f t="shared" si="1"/>
        <v>56</v>
      </c>
      <c r="G15" s="7">
        <f>G31*0.2</f>
        <v>64.8</v>
      </c>
      <c r="H15" s="7">
        <v>1</v>
      </c>
      <c r="I15" s="7"/>
      <c r="J15" s="7"/>
      <c r="K15" s="7"/>
      <c r="L15" s="7"/>
      <c r="M15" s="7">
        <v>370</v>
      </c>
      <c r="N15" s="7">
        <f>IF(A15&lt;5,$X$1,IF(A15&gt;10,$AA$1,$Z$1))</f>
        <v>303</v>
      </c>
      <c r="O15" s="7">
        <v>20</v>
      </c>
      <c r="P15" s="7"/>
      <c r="Q15" s="7"/>
      <c r="R15" s="7">
        <f t="shared" si="7"/>
        <v>320</v>
      </c>
      <c r="S15" s="7">
        <f t="shared" si="3"/>
        <v>20</v>
      </c>
      <c r="T15" s="7"/>
      <c r="U15" s="7">
        <f t="shared" si="4"/>
        <v>15</v>
      </c>
      <c r="V15" s="7"/>
      <c r="Y15" s="4"/>
      <c r="AA15" s="7"/>
    </row>
    <row r="16" spans="1:27">
      <c r="A16" s="7">
        <v>15</v>
      </c>
      <c r="B16" s="7">
        <f>B15+$AB$2+20</f>
        <v>1780</v>
      </c>
      <c r="C16" s="7">
        <v>75</v>
      </c>
      <c r="D16" s="7">
        <v>11</v>
      </c>
      <c r="E16" s="7"/>
      <c r="F16" s="7">
        <f t="shared" si="1"/>
        <v>60</v>
      </c>
      <c r="G16" s="7">
        <f t="shared" ref="G16:G19" si="9">($G$20-$G$15)/5+G15</f>
        <v>77.76</v>
      </c>
      <c r="H16" s="7">
        <v>2</v>
      </c>
      <c r="I16" s="7"/>
      <c r="J16" s="7"/>
      <c r="K16" s="7"/>
      <c r="L16" s="7"/>
      <c r="M16" s="7">
        <v>420</v>
      </c>
      <c r="N16" s="7">
        <f>IF(A16&lt;5,$X$1,IF(A16&gt;10,$AA$1,$Z$1))</f>
        <v>303</v>
      </c>
      <c r="O16" s="7">
        <v>20</v>
      </c>
      <c r="P16" s="7"/>
      <c r="Q16" s="7"/>
      <c r="R16" s="7">
        <f t="shared" si="7"/>
        <v>400</v>
      </c>
      <c r="S16" s="7">
        <f t="shared" si="3"/>
        <v>20</v>
      </c>
      <c r="T16" s="7"/>
      <c r="U16" s="7">
        <f t="shared" si="4"/>
        <v>15</v>
      </c>
      <c r="V16" s="7"/>
      <c r="Y16" s="4"/>
      <c r="AA16" s="7"/>
    </row>
    <row r="17" spans="1:27">
      <c r="A17" s="7">
        <v>16</v>
      </c>
      <c r="B17" s="7">
        <f>B16+$AB$2+20</f>
        <v>1900</v>
      </c>
      <c r="C17" s="7">
        <v>80</v>
      </c>
      <c r="D17" s="7">
        <v>12</v>
      </c>
      <c r="E17" s="7"/>
      <c r="F17" s="7">
        <f t="shared" si="1"/>
        <v>64</v>
      </c>
      <c r="G17" s="7">
        <f t="shared" si="9"/>
        <v>90.72</v>
      </c>
      <c r="H17" s="7">
        <v>1</v>
      </c>
      <c r="I17" s="7"/>
      <c r="J17" s="7"/>
      <c r="K17" s="7"/>
      <c r="L17" s="7"/>
      <c r="M17" s="7">
        <v>470</v>
      </c>
      <c r="N17" s="7">
        <f>IF(A17&lt;5,$X$1,IF(A17&gt;10,$AA$1,$Z$1))</f>
        <v>303</v>
      </c>
      <c r="O17" s="7">
        <v>20</v>
      </c>
      <c r="P17" s="7"/>
      <c r="Q17" s="7"/>
      <c r="R17" s="7">
        <f t="shared" si="7"/>
        <v>400</v>
      </c>
      <c r="S17" s="7">
        <f t="shared" si="3"/>
        <v>20</v>
      </c>
      <c r="T17" s="7"/>
      <c r="U17" s="7">
        <f t="shared" si="4"/>
        <v>15</v>
      </c>
      <c r="V17" s="7"/>
      <c r="Y17" s="4"/>
      <c r="AA17" s="7"/>
    </row>
    <row r="18" spans="1:27">
      <c r="A18" s="7">
        <v>17</v>
      </c>
      <c r="B18" s="7">
        <f>B17+$AB$2+20</f>
        <v>2020</v>
      </c>
      <c r="C18" s="7">
        <v>85</v>
      </c>
      <c r="D18" s="7">
        <v>13</v>
      </c>
      <c r="E18" s="7"/>
      <c r="F18" s="7">
        <f t="shared" si="1"/>
        <v>68</v>
      </c>
      <c r="G18" s="7">
        <f t="shared" si="9"/>
        <v>103.68</v>
      </c>
      <c r="H18" s="7">
        <v>1</v>
      </c>
      <c r="I18" s="7"/>
      <c r="J18" s="7"/>
      <c r="K18" s="7"/>
      <c r="L18" s="7"/>
      <c r="M18" s="7">
        <v>520</v>
      </c>
      <c r="N18" s="7">
        <f>IF(A18&lt;5,$X$1,IF(A18&gt;10,$AA$1,$Z$1))</f>
        <v>303</v>
      </c>
      <c r="O18" s="7">
        <v>20</v>
      </c>
      <c r="P18" s="7"/>
      <c r="Q18" s="7"/>
      <c r="R18" s="7">
        <f t="shared" si="7"/>
        <v>400</v>
      </c>
      <c r="S18" s="7">
        <f t="shared" si="3"/>
        <v>20</v>
      </c>
      <c r="T18" s="7"/>
      <c r="U18" s="7">
        <f t="shared" si="4"/>
        <v>15</v>
      </c>
      <c r="V18" s="7"/>
      <c r="Y18" s="4"/>
      <c r="AA18" s="7"/>
    </row>
    <row r="19" spans="1:27">
      <c r="A19" s="7">
        <v>18</v>
      </c>
      <c r="B19" s="7">
        <f>B18+$AB$2+20</f>
        <v>2140</v>
      </c>
      <c r="C19" s="7">
        <v>90</v>
      </c>
      <c r="D19" s="7">
        <v>14</v>
      </c>
      <c r="E19" s="7"/>
      <c r="F19" s="7">
        <f t="shared" si="1"/>
        <v>72</v>
      </c>
      <c r="G19" s="7">
        <f t="shared" si="9"/>
        <v>116.64</v>
      </c>
      <c r="H19" s="7">
        <v>1</v>
      </c>
      <c r="I19" s="7"/>
      <c r="J19" s="7"/>
      <c r="K19" s="7"/>
      <c r="L19" s="7"/>
      <c r="M19" s="7">
        <v>570</v>
      </c>
      <c r="N19" s="7">
        <f>IF(A19&lt;5,$X$1,IF(A19&gt;10,$AA$1,$Z$1))</f>
        <v>303</v>
      </c>
      <c r="O19" s="7">
        <v>20</v>
      </c>
      <c r="P19" s="7"/>
      <c r="Q19" s="7"/>
      <c r="R19" s="7">
        <f t="shared" si="7"/>
        <v>480</v>
      </c>
      <c r="S19" s="7">
        <f t="shared" si="3"/>
        <v>20</v>
      </c>
      <c r="T19" s="7"/>
      <c r="U19" s="7">
        <f t="shared" si="4"/>
        <v>15</v>
      </c>
      <c r="V19" s="7"/>
      <c r="Y19" s="4"/>
      <c r="AA19" s="7"/>
    </row>
    <row r="20" spans="1:27">
      <c r="A20" s="7">
        <v>19</v>
      </c>
      <c r="B20" s="7">
        <f>B19+$AB$2+20</f>
        <v>2260</v>
      </c>
      <c r="C20" s="7">
        <v>95</v>
      </c>
      <c r="D20" s="7">
        <v>15</v>
      </c>
      <c r="E20" s="7"/>
      <c r="F20" s="7">
        <f t="shared" si="1"/>
        <v>76</v>
      </c>
      <c r="G20" s="7">
        <f>G31*0.4</f>
        <v>129.6</v>
      </c>
      <c r="H20" s="7">
        <v>1</v>
      </c>
      <c r="I20" s="7"/>
      <c r="J20" s="7"/>
      <c r="K20" s="7"/>
      <c r="L20" s="7"/>
      <c r="M20" s="7">
        <v>620</v>
      </c>
      <c r="N20" s="7">
        <f>IF(A20&lt;5,$X$1,IF(A20&gt;10,$AA$1,$Z$1))</f>
        <v>303</v>
      </c>
      <c r="O20" s="7">
        <v>20</v>
      </c>
      <c r="P20" s="7"/>
      <c r="Q20" s="7"/>
      <c r="R20" s="7">
        <f t="shared" si="7"/>
        <v>480</v>
      </c>
      <c r="S20" s="7">
        <f t="shared" si="3"/>
        <v>20</v>
      </c>
      <c r="T20" s="7"/>
      <c r="U20" s="7">
        <f t="shared" si="4"/>
        <v>15</v>
      </c>
      <c r="V20" s="7"/>
      <c r="Y20" s="4"/>
      <c r="AA20" s="7"/>
    </row>
    <row r="21" spans="1:27">
      <c r="A21" s="7">
        <v>20</v>
      </c>
      <c r="B21" s="7">
        <f>B20+$AB$2+40</f>
        <v>2400</v>
      </c>
      <c r="C21" s="7">
        <v>100</v>
      </c>
      <c r="D21" s="7">
        <v>16</v>
      </c>
      <c r="E21" s="7"/>
      <c r="F21" s="7">
        <f t="shared" si="1"/>
        <v>80</v>
      </c>
      <c r="G21" s="7">
        <f t="shared" ref="G21:G24" si="10">($G$25-$G$20)/5+G20</f>
        <v>142.56</v>
      </c>
      <c r="H21" s="7">
        <v>3</v>
      </c>
      <c r="I21" s="7"/>
      <c r="J21" s="7"/>
      <c r="K21" s="7"/>
      <c r="L21" s="7"/>
      <c r="M21" s="7">
        <v>670</v>
      </c>
      <c r="N21" s="7">
        <f>IF(A21&lt;5,$X$1,IF(A21&gt;10,$AA$1,$Z$1))</f>
        <v>303</v>
      </c>
      <c r="O21" s="7">
        <v>20</v>
      </c>
      <c r="P21" s="7"/>
      <c r="Q21" s="7"/>
      <c r="R21" s="7">
        <f t="shared" si="7"/>
        <v>480</v>
      </c>
      <c r="S21" s="7">
        <f t="shared" si="3"/>
        <v>20</v>
      </c>
      <c r="T21" s="7"/>
      <c r="U21" s="7">
        <f t="shared" si="4"/>
        <v>15</v>
      </c>
      <c r="V21" s="7"/>
      <c r="Y21" s="4"/>
      <c r="AA21" s="7"/>
    </row>
    <row r="22" spans="1:27">
      <c r="A22" s="7">
        <v>21</v>
      </c>
      <c r="B22" s="7"/>
      <c r="C22" s="7">
        <f t="shared" ref="C22:C33" si="11">ROUNDDOWN(B22/$X$6,0)</f>
        <v>0</v>
      </c>
      <c r="D22" s="7">
        <v>17</v>
      </c>
      <c r="E22" s="7"/>
      <c r="F22" s="7">
        <f t="shared" si="1"/>
        <v>0</v>
      </c>
      <c r="G22" s="7">
        <f t="shared" si="10"/>
        <v>155.52</v>
      </c>
      <c r="H22" s="7">
        <v>1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>
        <f t="shared" si="11"/>
        <v>0</v>
      </c>
      <c r="D23" s="7">
        <v>20</v>
      </c>
      <c r="E23" s="7"/>
      <c r="F23" s="7">
        <f t="shared" si="1"/>
        <v>0</v>
      </c>
      <c r="G23" s="7">
        <f t="shared" si="10"/>
        <v>168.48</v>
      </c>
      <c r="H23" s="7">
        <v>1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>
        <f t="shared" si="11"/>
        <v>0</v>
      </c>
      <c r="D24" s="7">
        <v>21</v>
      </c>
      <c r="E24" s="7"/>
      <c r="F24" s="7">
        <f t="shared" si="1"/>
        <v>0</v>
      </c>
      <c r="G24" s="7">
        <f t="shared" si="10"/>
        <v>181.44</v>
      </c>
      <c r="H24" s="7">
        <v>1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>
        <f t="shared" si="11"/>
        <v>0</v>
      </c>
      <c r="D25" s="7">
        <v>22</v>
      </c>
      <c r="E25" s="7"/>
      <c r="F25" s="7">
        <f t="shared" si="1"/>
        <v>0</v>
      </c>
      <c r="G25" s="7">
        <f>G31*0.6</f>
        <v>194.4</v>
      </c>
      <c r="H25" s="7">
        <v>1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>
        <f t="shared" si="11"/>
        <v>0</v>
      </c>
      <c r="D26" s="7">
        <v>23</v>
      </c>
      <c r="E26" s="7"/>
      <c r="F26" s="7">
        <f t="shared" si="1"/>
        <v>0</v>
      </c>
      <c r="G26" s="7">
        <f t="shared" ref="G26:G29" si="12">($G$30-$G$25)/5+G25</f>
        <v>210.6</v>
      </c>
      <c r="H26" s="7">
        <v>2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>
        <f t="shared" si="11"/>
        <v>0</v>
      </c>
      <c r="D27" s="7">
        <v>24</v>
      </c>
      <c r="E27" s="7"/>
      <c r="F27" s="7">
        <f t="shared" si="1"/>
        <v>0</v>
      </c>
      <c r="G27" s="7">
        <f t="shared" si="12"/>
        <v>226.8</v>
      </c>
      <c r="H27" s="7">
        <v>1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>
        <f t="shared" si="11"/>
        <v>0</v>
      </c>
      <c r="D28" s="7">
        <v>25</v>
      </c>
      <c r="E28" s="7"/>
      <c r="F28" s="7">
        <f t="shared" si="1"/>
        <v>0</v>
      </c>
      <c r="G28" s="7">
        <f t="shared" si="12"/>
        <v>243</v>
      </c>
      <c r="H28" s="7">
        <v>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>
        <f t="shared" si="11"/>
        <v>0</v>
      </c>
      <c r="D29" s="7">
        <v>26</v>
      </c>
      <c r="E29" s="7"/>
      <c r="F29" s="7">
        <f t="shared" si="1"/>
        <v>0</v>
      </c>
      <c r="G29" s="7">
        <f t="shared" si="12"/>
        <v>259.2</v>
      </c>
      <c r="H29" s="7">
        <v>1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>
        <f t="shared" si="11"/>
        <v>0</v>
      </c>
      <c r="D30" s="7">
        <v>27</v>
      </c>
      <c r="E30" s="7"/>
      <c r="F30" s="7">
        <f t="shared" si="1"/>
        <v>0</v>
      </c>
      <c r="G30" s="7">
        <f>G31*0.85</f>
        <v>275.4</v>
      </c>
      <c r="H30" s="7">
        <v>1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>
        <f t="shared" si="11"/>
        <v>0</v>
      </c>
      <c r="D31" s="7">
        <v>28</v>
      </c>
      <c r="E31" s="7"/>
      <c r="F31" s="7">
        <f t="shared" si="1"/>
        <v>0</v>
      </c>
      <c r="G31" s="7">
        <v>324</v>
      </c>
      <c r="H31" s="7">
        <v>3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>
        <f t="shared" si="11"/>
        <v>0</v>
      </c>
      <c r="D32" s="7"/>
      <c r="E32" s="7"/>
      <c r="F32" s="7">
        <f t="shared" si="1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300</v>
      </c>
      <c r="V32" s="7"/>
      <c r="Y32" s="4"/>
      <c r="AA32" s="7"/>
    </row>
    <row r="33" spans="1:27">
      <c r="A33" s="7"/>
      <c r="B33" s="7"/>
      <c r="C33" s="7">
        <f t="shared" si="11"/>
        <v>0</v>
      </c>
      <c r="D33" s="7"/>
      <c r="E33" s="7"/>
      <c r="F33" s="7">
        <f t="shared" si="1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3">IF(I2="","",_xlfn.TEXTJOIN(",",TRUE,I2:J2))</f>
        <v/>
      </c>
      <c r="J40" s="7" t="str">
        <f t="shared" ref="J40:J69" si="14">IF(I40="","",_xlfn.TEXTJOIN(",",TRUE,I40,H40))</f>
        <v/>
      </c>
      <c r="K40" s="7" t="str">
        <f t="shared" si="13"/>
        <v/>
      </c>
      <c r="L40" s="7" t="str">
        <f t="shared" ref="L40:L69" si="15">IF(K40="","",_xlfn.TEXTJOIN(",",TRUE,K40,H40))</f>
        <v/>
      </c>
      <c r="M40" s="7" t="str">
        <f t="shared" ref="M40:M69" si="16">_xlfn.TEXTJOIN(";",TRUE,J40,L40)</f>
        <v/>
      </c>
      <c r="N40" s="7" t="str">
        <f t="shared" si="13"/>
        <v>301,15</v>
      </c>
      <c r="O40" s="7" t="str">
        <f t="shared" ref="O40:O69" si="17">IF(N40="","",N40&amp;","&amp;H40)</f>
        <v>301,15,1</v>
      </c>
      <c r="P40" s="7" t="str">
        <f t="shared" ref="P40:P69" si="18">IF(P2="","",P2&amp;","&amp;Q2)</f>
        <v>10001,1</v>
      </c>
      <c r="Q40" s="7" t="str">
        <f t="shared" ref="Q40:Q69" si="19">IF(P40="","",P40&amp;","&amp;H40)</f>
        <v>10001,1,1</v>
      </c>
      <c r="R40" s="7" t="str">
        <f>_xlfn.TEXTJOIN(";",TRUE,Q40,O40)</f>
        <v>10001,1,1;301,15,1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/>
      </c>
      <c r="J41" s="7" t="str">
        <f t="shared" si="14"/>
        <v/>
      </c>
      <c r="K41" s="7" t="str">
        <f t="shared" si="20"/>
        <v/>
      </c>
      <c r="L41" s="7" t="str">
        <f t="shared" si="15"/>
        <v/>
      </c>
      <c r="M41" s="7" t="str">
        <f t="shared" si="16"/>
        <v/>
      </c>
      <c r="N41" s="7" t="str">
        <f t="shared" si="20"/>
        <v>301,15</v>
      </c>
      <c r="O41" s="7" t="str">
        <f t="shared" si="17"/>
        <v>301,15,2</v>
      </c>
      <c r="P41" s="7" t="str">
        <f t="shared" si="18"/>
        <v/>
      </c>
      <c r="Q41" s="7" t="str">
        <f t="shared" si="19"/>
        <v/>
      </c>
      <c r="R41" s="7" t="str">
        <f t="shared" ref="R41:R69" si="21">_xlfn.TEXTJOIN(";",TRUE,O41,Q41)</f>
        <v>301,15,2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2">IF(I4="","",_xlfn.TEXTJOIN(",",TRUE,I4:J4))</f>
        <v/>
      </c>
      <c r="J42" s="7" t="str">
        <f t="shared" si="14"/>
        <v/>
      </c>
      <c r="K42" s="7" t="str">
        <f t="shared" si="22"/>
        <v/>
      </c>
      <c r="L42" s="7" t="str">
        <f t="shared" si="15"/>
        <v/>
      </c>
      <c r="M42" s="7" t="str">
        <f t="shared" si="16"/>
        <v/>
      </c>
      <c r="N42" s="7" t="str">
        <f t="shared" si="22"/>
        <v>301,15</v>
      </c>
      <c r="O42" s="7" t="str">
        <f t="shared" si="17"/>
        <v>301,15,3</v>
      </c>
      <c r="P42" s="7" t="str">
        <f t="shared" si="18"/>
        <v/>
      </c>
      <c r="Q42" s="7" t="str">
        <f t="shared" si="19"/>
        <v/>
      </c>
      <c r="R42" s="7" t="str">
        <f t="shared" si="21"/>
        <v>301,15,3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3">IF(I5="","",_xlfn.TEXTJOIN(",",TRUE,I5:J5))</f>
        <v/>
      </c>
      <c r="J43" s="7" t="str">
        <f t="shared" si="14"/>
        <v/>
      </c>
      <c r="K43" s="7" t="str">
        <f t="shared" si="23"/>
        <v/>
      </c>
      <c r="L43" s="7" t="str">
        <f t="shared" si="15"/>
        <v/>
      </c>
      <c r="M43" s="7" t="str">
        <f t="shared" si="16"/>
        <v/>
      </c>
      <c r="N43" s="7" t="str">
        <f t="shared" si="23"/>
        <v>301,15</v>
      </c>
      <c r="O43" s="7" t="str">
        <f t="shared" si="17"/>
        <v>301,15,4</v>
      </c>
      <c r="P43" s="7" t="str">
        <f t="shared" si="18"/>
        <v/>
      </c>
      <c r="Q43" s="7" t="str">
        <f t="shared" si="19"/>
        <v/>
      </c>
      <c r="R43" s="7" t="str">
        <f t="shared" si="21"/>
        <v>301,15,4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4">IF(I6="","",_xlfn.TEXTJOIN(",",TRUE,I6:J6))</f>
        <v/>
      </c>
      <c r="J44" s="7" t="str">
        <f t="shared" si="14"/>
        <v/>
      </c>
      <c r="K44" s="7" t="str">
        <f t="shared" si="24"/>
        <v/>
      </c>
      <c r="L44" s="7" t="str">
        <f t="shared" si="15"/>
        <v/>
      </c>
      <c r="M44" s="7" t="str">
        <f t="shared" si="16"/>
        <v/>
      </c>
      <c r="N44" s="7" t="str">
        <f t="shared" si="24"/>
        <v>302,15</v>
      </c>
      <c r="O44" s="7" t="str">
        <f t="shared" si="17"/>
        <v>302,15,5</v>
      </c>
      <c r="P44" s="7" t="str">
        <f t="shared" si="18"/>
        <v/>
      </c>
      <c r="Q44" s="7" t="str">
        <f t="shared" si="19"/>
        <v/>
      </c>
      <c r="R44" s="7" t="str">
        <f t="shared" si="21"/>
        <v>302,15,5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5">IF(I7="","",_xlfn.TEXTJOIN(",",TRUE,I7:J7))</f>
        <v/>
      </c>
      <c r="J45" s="7" t="str">
        <f t="shared" si="14"/>
        <v/>
      </c>
      <c r="K45" s="7" t="str">
        <f t="shared" si="25"/>
        <v/>
      </c>
      <c r="L45" s="7" t="str">
        <f t="shared" si="15"/>
        <v/>
      </c>
      <c r="M45" s="7" t="str">
        <f t="shared" si="16"/>
        <v/>
      </c>
      <c r="N45" s="7" t="str">
        <f t="shared" si="25"/>
        <v>302,15</v>
      </c>
      <c r="O45" s="7" t="str">
        <f t="shared" si="17"/>
        <v>302,15,6</v>
      </c>
      <c r="P45" s="7" t="str">
        <f t="shared" si="18"/>
        <v/>
      </c>
      <c r="Q45" s="7" t="str">
        <f t="shared" si="19"/>
        <v/>
      </c>
      <c r="R45" s="7" t="str">
        <f t="shared" si="21"/>
        <v>302,15,6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6">IF(I8="","",_xlfn.TEXTJOIN(",",TRUE,I8:J8))</f>
        <v/>
      </c>
      <c r="J46" s="7" t="str">
        <f t="shared" si="14"/>
        <v/>
      </c>
      <c r="K46" s="7" t="str">
        <f t="shared" si="26"/>
        <v/>
      </c>
      <c r="L46" s="7" t="str">
        <f t="shared" si="15"/>
        <v/>
      </c>
      <c r="M46" s="7" t="str">
        <f t="shared" si="16"/>
        <v/>
      </c>
      <c r="N46" s="7" t="str">
        <f t="shared" si="26"/>
        <v>302,15</v>
      </c>
      <c r="O46" s="7" t="str">
        <f t="shared" si="17"/>
        <v>302,15,7</v>
      </c>
      <c r="P46" s="7" t="str">
        <f t="shared" si="18"/>
        <v/>
      </c>
      <c r="Q46" s="7" t="str">
        <f t="shared" si="19"/>
        <v/>
      </c>
      <c r="R46" s="7" t="str">
        <f t="shared" si="21"/>
        <v>302,15,7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7">IF(I9="","",_xlfn.TEXTJOIN(",",TRUE,I9:J9))</f>
        <v/>
      </c>
      <c r="J47" s="7" t="str">
        <f t="shared" si="14"/>
        <v/>
      </c>
      <c r="K47" s="7" t="str">
        <f t="shared" si="27"/>
        <v/>
      </c>
      <c r="L47" s="7" t="str">
        <f t="shared" si="15"/>
        <v/>
      </c>
      <c r="M47" s="7" t="str">
        <f t="shared" si="16"/>
        <v/>
      </c>
      <c r="N47" s="7" t="str">
        <f t="shared" si="27"/>
        <v>302,15</v>
      </c>
      <c r="O47" s="7" t="str">
        <f t="shared" si="17"/>
        <v>302,15,8</v>
      </c>
      <c r="P47" s="7" t="str">
        <f t="shared" si="18"/>
        <v/>
      </c>
      <c r="Q47" s="7" t="str">
        <f t="shared" si="19"/>
        <v/>
      </c>
      <c r="R47" s="7" t="str">
        <f t="shared" si="21"/>
        <v>302,15,8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8">IF(I10="","",_xlfn.TEXTJOIN(",",TRUE,I10:J10))</f>
        <v/>
      </c>
      <c r="J48" s="7" t="str">
        <f t="shared" si="14"/>
        <v/>
      </c>
      <c r="K48" s="7" t="str">
        <f t="shared" si="28"/>
        <v/>
      </c>
      <c r="L48" s="7" t="str">
        <f t="shared" si="15"/>
        <v/>
      </c>
      <c r="M48" s="7" t="str">
        <f t="shared" si="16"/>
        <v/>
      </c>
      <c r="N48" s="7" t="str">
        <f t="shared" si="28"/>
        <v>302,15</v>
      </c>
      <c r="O48" s="7" t="str">
        <f t="shared" si="17"/>
        <v>302,15,9</v>
      </c>
      <c r="P48" s="7" t="str">
        <f t="shared" si="18"/>
        <v/>
      </c>
      <c r="Q48" s="7" t="str">
        <f t="shared" si="19"/>
        <v/>
      </c>
      <c r="R48" s="7" t="str">
        <f t="shared" si="21"/>
        <v>302,15,9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9">IF(I11="","",_xlfn.TEXTJOIN(",",TRUE,I11:J11))</f>
        <v/>
      </c>
      <c r="J49" s="7" t="str">
        <f t="shared" si="14"/>
        <v/>
      </c>
      <c r="K49" s="7" t="str">
        <f t="shared" si="29"/>
        <v/>
      </c>
      <c r="L49" s="7" t="str">
        <f t="shared" si="15"/>
        <v/>
      </c>
      <c r="M49" s="7" t="str">
        <f t="shared" si="16"/>
        <v/>
      </c>
      <c r="N49" s="7" t="str">
        <f t="shared" si="29"/>
        <v>302,15</v>
      </c>
      <c r="O49" s="7" t="str">
        <f t="shared" si="17"/>
        <v>302,15,10</v>
      </c>
      <c r="P49" s="7" t="str">
        <f t="shared" si="18"/>
        <v/>
      </c>
      <c r="Q49" s="7" t="str">
        <f t="shared" si="19"/>
        <v/>
      </c>
      <c r="R49" s="7" t="str">
        <f t="shared" si="21"/>
        <v>302,15,10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0">IF(I12="","",_xlfn.TEXTJOIN(",",TRUE,I12:J12))</f>
        <v/>
      </c>
      <c r="J50" s="7" t="str">
        <f t="shared" si="14"/>
        <v/>
      </c>
      <c r="K50" s="7" t="str">
        <f t="shared" si="30"/>
        <v/>
      </c>
      <c r="L50" s="7" t="str">
        <f t="shared" si="15"/>
        <v/>
      </c>
      <c r="M50" s="7" t="str">
        <f t="shared" si="16"/>
        <v/>
      </c>
      <c r="N50" s="7" t="str">
        <f t="shared" si="30"/>
        <v>303,20</v>
      </c>
      <c r="O50" s="7" t="str">
        <f t="shared" si="17"/>
        <v>303,20,11</v>
      </c>
      <c r="P50" s="7" t="str">
        <f t="shared" si="18"/>
        <v/>
      </c>
      <c r="Q50" s="7" t="str">
        <f t="shared" si="19"/>
        <v/>
      </c>
      <c r="R50" s="7" t="str">
        <f t="shared" si="21"/>
        <v>303,20,11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1">IF(I13="","",_xlfn.TEXTJOIN(",",TRUE,I13:J13))</f>
        <v/>
      </c>
      <c r="J51" s="7" t="str">
        <f t="shared" si="14"/>
        <v/>
      </c>
      <c r="K51" s="7" t="str">
        <f t="shared" si="31"/>
        <v/>
      </c>
      <c r="L51" s="7" t="str">
        <f t="shared" si="15"/>
        <v/>
      </c>
      <c r="M51" s="7" t="str">
        <f t="shared" si="16"/>
        <v/>
      </c>
      <c r="N51" s="7" t="str">
        <f t="shared" si="31"/>
        <v>303,20</v>
      </c>
      <c r="O51" s="7" t="str">
        <f t="shared" si="17"/>
        <v>303,20,12</v>
      </c>
      <c r="P51" s="7" t="str">
        <f t="shared" si="18"/>
        <v/>
      </c>
      <c r="Q51" s="7" t="str">
        <f t="shared" si="19"/>
        <v/>
      </c>
      <c r="R51" s="7" t="str">
        <f t="shared" si="21"/>
        <v>303,20,12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2">IF(I14="","",_xlfn.TEXTJOIN(",",TRUE,I14:J14))</f>
        <v/>
      </c>
      <c r="J52" s="7" t="str">
        <f t="shared" si="14"/>
        <v/>
      </c>
      <c r="K52" s="7" t="str">
        <f t="shared" si="32"/>
        <v/>
      </c>
      <c r="L52" s="7" t="str">
        <f t="shared" si="15"/>
        <v/>
      </c>
      <c r="M52" s="7" t="str">
        <f t="shared" si="16"/>
        <v/>
      </c>
      <c r="N52" s="7" t="str">
        <f t="shared" si="32"/>
        <v>303,20</v>
      </c>
      <c r="O52" s="7" t="str">
        <f t="shared" si="17"/>
        <v>303,20,13</v>
      </c>
      <c r="P52" s="7" t="str">
        <f t="shared" si="18"/>
        <v/>
      </c>
      <c r="Q52" s="7" t="str">
        <f t="shared" si="19"/>
        <v/>
      </c>
      <c r="R52" s="7" t="str">
        <f t="shared" si="21"/>
        <v>303,20,13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3">IF(I15="","",_xlfn.TEXTJOIN(",",TRUE,I15:J15))</f>
        <v/>
      </c>
      <c r="J53" s="7" t="str">
        <f t="shared" si="14"/>
        <v/>
      </c>
      <c r="K53" s="7" t="str">
        <f t="shared" si="33"/>
        <v/>
      </c>
      <c r="L53" s="7" t="str">
        <f t="shared" si="15"/>
        <v/>
      </c>
      <c r="M53" s="7" t="str">
        <f t="shared" si="16"/>
        <v/>
      </c>
      <c r="N53" s="7" t="str">
        <f t="shared" si="33"/>
        <v>303,20</v>
      </c>
      <c r="O53" s="7" t="str">
        <f t="shared" si="17"/>
        <v>303,20,14</v>
      </c>
      <c r="P53" s="7" t="str">
        <f t="shared" si="18"/>
        <v/>
      </c>
      <c r="Q53" s="7" t="str">
        <f t="shared" si="19"/>
        <v/>
      </c>
      <c r="R53" s="7" t="str">
        <f t="shared" si="21"/>
        <v>303,20,14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4">IF(I16="","",_xlfn.TEXTJOIN(",",TRUE,I16:J16))</f>
        <v/>
      </c>
      <c r="J54" s="7" t="str">
        <f t="shared" si="14"/>
        <v/>
      </c>
      <c r="K54" s="7" t="str">
        <f t="shared" si="34"/>
        <v/>
      </c>
      <c r="L54" s="7" t="str">
        <f t="shared" si="15"/>
        <v/>
      </c>
      <c r="M54" s="7" t="str">
        <f t="shared" si="16"/>
        <v/>
      </c>
      <c r="N54" s="7" t="str">
        <f t="shared" si="34"/>
        <v>303,20</v>
      </c>
      <c r="O54" s="7" t="str">
        <f t="shared" si="17"/>
        <v>303,20,15</v>
      </c>
      <c r="P54" s="7" t="str">
        <f t="shared" si="18"/>
        <v/>
      </c>
      <c r="Q54" s="7" t="str">
        <f t="shared" si="19"/>
        <v/>
      </c>
      <c r="R54" s="7" t="str">
        <f t="shared" si="21"/>
        <v>303,20,15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5">IF(I17="","",_xlfn.TEXTJOIN(",",TRUE,I17:J17))</f>
        <v/>
      </c>
      <c r="J55" s="7" t="str">
        <f t="shared" si="14"/>
        <v/>
      </c>
      <c r="K55" s="7" t="str">
        <f t="shared" si="35"/>
        <v/>
      </c>
      <c r="L55" s="7" t="str">
        <f t="shared" si="15"/>
        <v/>
      </c>
      <c r="M55" s="7" t="str">
        <f t="shared" si="16"/>
        <v/>
      </c>
      <c r="N55" s="7" t="str">
        <f t="shared" si="35"/>
        <v>303,20</v>
      </c>
      <c r="O55" s="7" t="str">
        <f t="shared" si="17"/>
        <v>303,20,16</v>
      </c>
      <c r="P55" s="7" t="str">
        <f t="shared" si="18"/>
        <v/>
      </c>
      <c r="Q55" s="7" t="str">
        <f t="shared" si="19"/>
        <v/>
      </c>
      <c r="R55" s="7" t="str">
        <f t="shared" si="21"/>
        <v>303,20,16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6">IF(I18="","",_xlfn.TEXTJOIN(",",TRUE,I18:J18))</f>
        <v/>
      </c>
      <c r="J56" s="7" t="str">
        <f t="shared" si="14"/>
        <v/>
      </c>
      <c r="K56" s="7" t="str">
        <f t="shared" si="36"/>
        <v/>
      </c>
      <c r="L56" s="7" t="str">
        <f t="shared" si="15"/>
        <v/>
      </c>
      <c r="M56" s="7" t="str">
        <f t="shared" si="16"/>
        <v/>
      </c>
      <c r="N56" s="7" t="str">
        <f t="shared" si="36"/>
        <v>303,20</v>
      </c>
      <c r="O56" s="7" t="str">
        <f t="shared" si="17"/>
        <v>303,20,17</v>
      </c>
      <c r="P56" s="7" t="str">
        <f t="shared" si="18"/>
        <v/>
      </c>
      <c r="Q56" s="7" t="str">
        <f t="shared" si="19"/>
        <v/>
      </c>
      <c r="R56" s="7" t="str">
        <f t="shared" si="21"/>
        <v>303,20,17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7">IF(I19="","",_xlfn.TEXTJOIN(",",TRUE,I19:J19))</f>
        <v/>
      </c>
      <c r="J57" s="7" t="str">
        <f t="shared" si="14"/>
        <v/>
      </c>
      <c r="K57" s="7" t="str">
        <f t="shared" si="37"/>
        <v/>
      </c>
      <c r="L57" s="7" t="str">
        <f t="shared" si="15"/>
        <v/>
      </c>
      <c r="M57" s="7" t="str">
        <f t="shared" si="16"/>
        <v/>
      </c>
      <c r="N57" s="7" t="str">
        <f t="shared" si="37"/>
        <v>303,20</v>
      </c>
      <c r="O57" s="7" t="str">
        <f t="shared" si="17"/>
        <v>303,20,18</v>
      </c>
      <c r="P57" s="7" t="str">
        <f t="shared" si="18"/>
        <v/>
      </c>
      <c r="Q57" s="7" t="str">
        <f t="shared" si="19"/>
        <v/>
      </c>
      <c r="R57" s="7" t="str">
        <f t="shared" si="21"/>
        <v>303,20,18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8">IF(I20="","",_xlfn.TEXTJOIN(",",TRUE,I20:J20))</f>
        <v/>
      </c>
      <c r="J58" s="7" t="str">
        <f t="shared" si="14"/>
        <v/>
      </c>
      <c r="K58" s="7" t="str">
        <f t="shared" si="38"/>
        <v/>
      </c>
      <c r="L58" s="7" t="str">
        <f t="shared" si="15"/>
        <v/>
      </c>
      <c r="M58" s="7" t="str">
        <f t="shared" si="16"/>
        <v/>
      </c>
      <c r="N58" s="7" t="str">
        <f t="shared" si="38"/>
        <v>303,20</v>
      </c>
      <c r="O58" s="7" t="str">
        <f t="shared" si="17"/>
        <v>303,20,19</v>
      </c>
      <c r="P58" s="7" t="str">
        <f t="shared" si="18"/>
        <v/>
      </c>
      <c r="Q58" s="7" t="str">
        <f t="shared" si="19"/>
        <v/>
      </c>
      <c r="R58" s="7" t="str">
        <f t="shared" si="21"/>
        <v>303,20,19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9">IF(I21="","",_xlfn.TEXTJOIN(",",TRUE,I21:J21))</f>
        <v/>
      </c>
      <c r="J59" s="7" t="str">
        <f t="shared" si="14"/>
        <v/>
      </c>
      <c r="K59" s="7" t="str">
        <f t="shared" si="39"/>
        <v/>
      </c>
      <c r="L59" s="7" t="str">
        <f t="shared" si="15"/>
        <v/>
      </c>
      <c r="M59" s="7" t="str">
        <f t="shared" si="16"/>
        <v/>
      </c>
      <c r="N59" s="7" t="str">
        <f t="shared" si="39"/>
        <v>303,20</v>
      </c>
      <c r="O59" s="7" t="str">
        <f t="shared" si="17"/>
        <v>303,20,20</v>
      </c>
      <c r="P59" s="7" t="str">
        <f t="shared" si="18"/>
        <v/>
      </c>
      <c r="Q59" s="7" t="str">
        <f t="shared" si="19"/>
        <v/>
      </c>
      <c r="R59" s="7" t="str">
        <f t="shared" si="21"/>
        <v>303,20,20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0">IF(I22="","",_xlfn.TEXTJOIN(",",TRUE,I22:J22))</f>
        <v/>
      </c>
      <c r="J60" s="7" t="str">
        <f t="shared" si="14"/>
        <v/>
      </c>
      <c r="K60" s="7" t="str">
        <f t="shared" si="40"/>
        <v/>
      </c>
      <c r="L60" s="7" t="str">
        <f t="shared" si="15"/>
        <v/>
      </c>
      <c r="M60" s="7" t="str">
        <f t="shared" si="16"/>
        <v/>
      </c>
      <c r="N60" s="7" t="str">
        <f t="shared" si="40"/>
        <v/>
      </c>
      <c r="O60" s="7" t="str">
        <f t="shared" si="17"/>
        <v/>
      </c>
      <c r="P60" s="7" t="str">
        <f t="shared" si="18"/>
        <v/>
      </c>
      <c r="Q60" s="7" t="str">
        <f t="shared" si="19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1">IF(I23="","",_xlfn.TEXTJOIN(",",TRUE,I23:J23))</f>
        <v/>
      </c>
      <c r="J61" s="7" t="str">
        <f t="shared" si="14"/>
        <v/>
      </c>
      <c r="K61" s="7" t="str">
        <f t="shared" si="41"/>
        <v/>
      </c>
      <c r="L61" s="7" t="str">
        <f t="shared" si="15"/>
        <v/>
      </c>
      <c r="M61" s="7" t="str">
        <f t="shared" si="16"/>
        <v/>
      </c>
      <c r="N61" s="7" t="str">
        <f t="shared" si="41"/>
        <v/>
      </c>
      <c r="O61" s="7" t="str">
        <f t="shared" si="17"/>
        <v/>
      </c>
      <c r="P61" s="7" t="str">
        <f t="shared" si="18"/>
        <v/>
      </c>
      <c r="Q61" s="7" t="str">
        <f t="shared" si="19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2">IF(I24="","",_xlfn.TEXTJOIN(",",TRUE,I24:J24))</f>
        <v/>
      </c>
      <c r="J62" s="7" t="str">
        <f t="shared" si="14"/>
        <v/>
      </c>
      <c r="K62" s="7" t="str">
        <f t="shared" si="42"/>
        <v/>
      </c>
      <c r="L62" s="7" t="str">
        <f t="shared" si="15"/>
        <v/>
      </c>
      <c r="M62" s="7" t="str">
        <f t="shared" si="16"/>
        <v/>
      </c>
      <c r="N62" s="7" t="str">
        <f t="shared" si="42"/>
        <v/>
      </c>
      <c r="O62" s="7" t="str">
        <f t="shared" si="17"/>
        <v/>
      </c>
      <c r="P62" s="7" t="str">
        <f t="shared" si="18"/>
        <v/>
      </c>
      <c r="Q62" s="7" t="str">
        <f t="shared" si="19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3">IF(I25="","",_xlfn.TEXTJOIN(",",TRUE,I25:J25))</f>
        <v/>
      </c>
      <c r="J63" s="7" t="str">
        <f t="shared" si="14"/>
        <v/>
      </c>
      <c r="K63" s="7" t="str">
        <f t="shared" si="43"/>
        <v/>
      </c>
      <c r="L63" s="7" t="str">
        <f t="shared" si="15"/>
        <v/>
      </c>
      <c r="M63" s="7" t="str">
        <f t="shared" si="16"/>
        <v/>
      </c>
      <c r="N63" s="7" t="str">
        <f t="shared" si="43"/>
        <v/>
      </c>
      <c r="O63" s="7" t="str">
        <f t="shared" si="17"/>
        <v/>
      </c>
      <c r="P63" s="7" t="str">
        <f t="shared" si="18"/>
        <v/>
      </c>
      <c r="Q63" s="7" t="str">
        <f t="shared" si="19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4">IF(I26="","",_xlfn.TEXTJOIN(",",TRUE,I26:J26))</f>
        <v/>
      </c>
      <c r="J64" s="7" t="str">
        <f t="shared" si="14"/>
        <v/>
      </c>
      <c r="K64" s="7" t="str">
        <f t="shared" si="44"/>
        <v/>
      </c>
      <c r="L64" s="7" t="str">
        <f t="shared" si="15"/>
        <v/>
      </c>
      <c r="M64" s="7" t="str">
        <f t="shared" si="16"/>
        <v/>
      </c>
      <c r="N64" s="7" t="str">
        <f t="shared" si="44"/>
        <v/>
      </c>
      <c r="O64" s="7" t="str">
        <f t="shared" si="17"/>
        <v/>
      </c>
      <c r="P64" s="7" t="str">
        <f t="shared" si="18"/>
        <v/>
      </c>
      <c r="Q64" s="7" t="str">
        <f t="shared" si="19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5">IF(I27="","",_xlfn.TEXTJOIN(",",TRUE,I27:J27))</f>
        <v/>
      </c>
      <c r="J65" s="7" t="str">
        <f t="shared" si="14"/>
        <v/>
      </c>
      <c r="K65" s="7" t="str">
        <f t="shared" si="45"/>
        <v/>
      </c>
      <c r="L65" s="7" t="str">
        <f t="shared" si="15"/>
        <v/>
      </c>
      <c r="M65" s="7" t="str">
        <f t="shared" si="16"/>
        <v/>
      </c>
      <c r="N65" s="7" t="str">
        <f t="shared" si="45"/>
        <v/>
      </c>
      <c r="O65" s="7" t="str">
        <f t="shared" si="17"/>
        <v/>
      </c>
      <c r="P65" s="7" t="str">
        <f t="shared" si="18"/>
        <v/>
      </c>
      <c r="Q65" s="7" t="str">
        <f t="shared" si="19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6">IF(I28="","",_xlfn.TEXTJOIN(",",TRUE,I28:J28))</f>
        <v/>
      </c>
      <c r="J66" s="7" t="str">
        <f t="shared" si="14"/>
        <v/>
      </c>
      <c r="K66" s="7" t="str">
        <f t="shared" si="46"/>
        <v/>
      </c>
      <c r="L66" s="7" t="str">
        <f t="shared" si="15"/>
        <v/>
      </c>
      <c r="M66" s="7" t="str">
        <f t="shared" si="16"/>
        <v/>
      </c>
      <c r="N66" s="7" t="str">
        <f t="shared" si="46"/>
        <v/>
      </c>
      <c r="O66" s="7" t="str">
        <f t="shared" si="17"/>
        <v/>
      </c>
      <c r="P66" s="7" t="str">
        <f t="shared" si="18"/>
        <v/>
      </c>
      <c r="Q66" s="7" t="str">
        <f t="shared" si="19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7">IF(I29="","",_xlfn.TEXTJOIN(",",TRUE,I29:J29))</f>
        <v/>
      </c>
      <c r="J67" s="7" t="str">
        <f t="shared" si="14"/>
        <v/>
      </c>
      <c r="K67" s="7" t="str">
        <f t="shared" si="47"/>
        <v/>
      </c>
      <c r="L67" s="7" t="str">
        <f t="shared" si="15"/>
        <v/>
      </c>
      <c r="M67" s="7" t="str">
        <f t="shared" si="16"/>
        <v/>
      </c>
      <c r="N67" s="7" t="str">
        <f t="shared" si="47"/>
        <v/>
      </c>
      <c r="O67" s="7" t="str">
        <f t="shared" si="17"/>
        <v/>
      </c>
      <c r="P67" s="7" t="str">
        <f t="shared" si="18"/>
        <v/>
      </c>
      <c r="Q67" s="7" t="str">
        <f t="shared" si="19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8">IF(I30="","",_xlfn.TEXTJOIN(",",TRUE,I30:J30))</f>
        <v/>
      </c>
      <c r="J68" s="7" t="str">
        <f t="shared" si="14"/>
        <v/>
      </c>
      <c r="K68" s="7" t="str">
        <f t="shared" si="48"/>
        <v/>
      </c>
      <c r="L68" s="7" t="str">
        <f t="shared" si="15"/>
        <v/>
      </c>
      <c r="M68" s="7" t="str">
        <f t="shared" si="16"/>
        <v/>
      </c>
      <c r="N68" s="7" t="str">
        <f t="shared" si="48"/>
        <v/>
      </c>
      <c r="O68" s="7" t="str">
        <f t="shared" si="17"/>
        <v/>
      </c>
      <c r="P68" s="7" t="str">
        <f t="shared" si="18"/>
        <v/>
      </c>
      <c r="Q68" s="7" t="str">
        <f t="shared" si="19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9">IF(I31="","",_xlfn.TEXTJOIN(",",TRUE,I31:J31))</f>
        <v/>
      </c>
      <c r="J69" s="7" t="str">
        <f t="shared" si="14"/>
        <v/>
      </c>
      <c r="K69" s="7" t="str">
        <f t="shared" si="49"/>
        <v/>
      </c>
      <c r="L69" s="7" t="str">
        <f t="shared" si="15"/>
        <v/>
      </c>
      <c r="M69" s="7" t="str">
        <f t="shared" si="16"/>
        <v/>
      </c>
      <c r="N69" s="7" t="str">
        <f t="shared" si="49"/>
        <v/>
      </c>
      <c r="O69" s="7" t="str">
        <f t="shared" si="17"/>
        <v/>
      </c>
      <c r="P69" s="7" t="str">
        <f t="shared" si="18"/>
        <v/>
      </c>
      <c r="Q69" s="7" t="str">
        <f t="shared" si="19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/>
      </c>
      <c r="N71" s="7"/>
      <c r="O71" s="7"/>
      <c r="P71" s="7"/>
      <c r="Q71" s="7"/>
      <c r="R71" s="15" t="str">
        <f>_xlfn.TEXTJOIN("|",TRUE,R40:R69)</f>
        <v>10001,1,1;301,15,1|301,15,2|301,15,3|301,15,4|302,15,5|302,15,6|302,15,7|302,15,8|302,15,9|302,15,10|303,20,11|303,20,12|303,20,13|303,20,14|303,20,15|303,20,16|303,20,17|303,20,18|303,20,19|303,20,20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3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  <c r="AJ75" s="4" t="s">
        <v>629</v>
      </c>
      <c r="AK75" s="4" t="s">
        <v>630</v>
      </c>
    </row>
    <row r="76" spans="1:3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  <c r="AJ76" s="4" t="e">
        <f>SUM(AM79:AM98)</f>
        <v>#DIV/0!</v>
      </c>
      <c r="AK76" s="4" t="e">
        <f>ROUND(AJ76/AK79/35*20,0)</f>
        <v>#DIV/0!</v>
      </c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9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  <c r="AI78" s="4" t="s">
        <v>136</v>
      </c>
      <c r="AJ78" s="4" t="s">
        <v>631</v>
      </c>
      <c r="AK78" s="4" t="s">
        <v>632</v>
      </c>
      <c r="AL78" t="s">
        <v>633</v>
      </c>
      <c r="AM78" t="s">
        <v>629</v>
      </c>
    </row>
    <row r="79" customFormat="1" spans="1:39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1</v>
      </c>
      <c r="O79" s="4">
        <f t="shared" ref="O79:O81" si="50">W79*(1-(N79-1)/6)*1</f>
        <v>5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93" si="51">SUM(P79:T79)+O79*0.2</f>
        <v>1</v>
      </c>
      <c r="V79" s="4">
        <v>1</v>
      </c>
      <c r="W79" s="7">
        <f t="shared" ref="W79:W98" si="52">C2</f>
        <v>5</v>
      </c>
      <c r="X79" s="4">
        <f t="shared" ref="X79:X108" si="53">(O79*W79)^V79</f>
        <v>25</v>
      </c>
      <c r="Y79" s="4">
        <f t="shared" ref="Y79:Y108" si="54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5">$R$77*U79*(AB79+AC79)</f>
        <v>875</v>
      </c>
      <c r="AE79" s="4">
        <f t="shared" ref="AE79:AE108" si="56">ROUND(AD79/AA79*V79,0)</f>
        <v>44</v>
      </c>
      <c r="AF79" s="4">
        <f t="shared" ref="AF79:AF108" si="57">ROUND(AD79/AA79*V79*AG79,0)</f>
        <v>26</v>
      </c>
      <c r="AG79" s="4">
        <v>0.6</v>
      </c>
      <c r="AH79" s="4">
        <f t="shared" ref="AH79:AH108" si="58">AF79</f>
        <v>26</v>
      </c>
      <c r="AI79" s="4">
        <f t="shared" ref="AI79:AI98" si="59">O2</f>
        <v>15</v>
      </c>
      <c r="AJ79" s="4">
        <f t="shared" ref="AJ79:AJ98" si="60">AH79*AA79</f>
        <v>520</v>
      </c>
      <c r="AK79" s="4">
        <f t="shared" ref="AK79:AK98" si="61">ROUND(AJ79/AI79,0)</f>
        <v>35</v>
      </c>
      <c r="AL79" s="7">
        <f>怪物难度系数!AC4</f>
        <v>20</v>
      </c>
      <c r="AM79">
        <f t="shared" ref="AM79:AM108" si="62">AJ79*AL79</f>
        <v>10400</v>
      </c>
    </row>
    <row r="80" customFormat="1" spans="1:39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1</v>
      </c>
      <c r="O80" s="4">
        <f t="shared" si="50"/>
        <v>10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f t="shared" si="51"/>
        <v>2</v>
      </c>
      <c r="V80" s="4">
        <v>1</v>
      </c>
      <c r="W80" s="7">
        <f t="shared" si="52"/>
        <v>10</v>
      </c>
      <c r="X80" s="4">
        <f t="shared" si="53"/>
        <v>100</v>
      </c>
      <c r="Y80" s="4">
        <f t="shared" si="54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5"/>
        <v>1750</v>
      </c>
      <c r="AE80" s="4">
        <f t="shared" si="56"/>
        <v>88</v>
      </c>
      <c r="AF80" s="4">
        <f t="shared" si="57"/>
        <v>53</v>
      </c>
      <c r="AG80" s="4">
        <v>0.6</v>
      </c>
      <c r="AH80" s="4">
        <f t="shared" si="58"/>
        <v>53</v>
      </c>
      <c r="AI80" s="4">
        <f t="shared" si="59"/>
        <v>15</v>
      </c>
      <c r="AJ80" s="4">
        <f t="shared" si="60"/>
        <v>1060</v>
      </c>
      <c r="AK80" s="4">
        <f t="shared" si="61"/>
        <v>71</v>
      </c>
      <c r="AL80" s="7">
        <f>怪物难度系数!AC5</f>
        <v>40</v>
      </c>
      <c r="AM80">
        <f t="shared" si="62"/>
        <v>42400</v>
      </c>
    </row>
    <row r="81" customFormat="1" spans="1:39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2</v>
      </c>
      <c r="O81" s="4">
        <f t="shared" si="50"/>
        <v>12.5</v>
      </c>
      <c r="P81" s="7">
        <f t="shared" ref="P81:P83" si="63">W81/6*1</f>
        <v>2.5</v>
      </c>
      <c r="Q81" s="7">
        <v>0</v>
      </c>
      <c r="R81" s="7">
        <v>0</v>
      </c>
      <c r="S81" s="7">
        <v>0</v>
      </c>
      <c r="T81" s="7">
        <v>0</v>
      </c>
      <c r="U81" s="7">
        <f t="shared" si="51"/>
        <v>5</v>
      </c>
      <c r="V81" s="4">
        <v>1</v>
      </c>
      <c r="W81" s="7">
        <f t="shared" si="52"/>
        <v>15</v>
      </c>
      <c r="X81" s="4">
        <f t="shared" si="53"/>
        <v>187.5</v>
      </c>
      <c r="Y81" s="4">
        <f t="shared" si="54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5"/>
        <v>4375</v>
      </c>
      <c r="AE81" s="4">
        <f t="shared" si="56"/>
        <v>219</v>
      </c>
      <c r="AF81" s="4">
        <f t="shared" si="57"/>
        <v>131</v>
      </c>
      <c r="AG81" s="4">
        <v>0.6</v>
      </c>
      <c r="AH81" s="4">
        <f t="shared" si="58"/>
        <v>131</v>
      </c>
      <c r="AI81" s="4">
        <f t="shared" si="59"/>
        <v>15</v>
      </c>
      <c r="AJ81" s="4">
        <f t="shared" si="60"/>
        <v>2620</v>
      </c>
      <c r="AK81" s="4">
        <f t="shared" si="61"/>
        <v>175</v>
      </c>
      <c r="AL81" s="7">
        <f>怪物难度系数!AC6</f>
        <v>98</v>
      </c>
      <c r="AM81">
        <f t="shared" si="62"/>
        <v>256760</v>
      </c>
    </row>
    <row r="82" customFormat="1" spans="1:39">
      <c r="A82" s="4">
        <v>4</v>
      </c>
      <c r="B82" s="7">
        <v>1</v>
      </c>
      <c r="C82" s="7"/>
      <c r="D82" s="7"/>
      <c r="E82" s="7"/>
      <c r="F82" s="7"/>
      <c r="G82" s="7"/>
      <c r="H82" s="4">
        <v>1</v>
      </c>
      <c r="I82" s="4"/>
      <c r="J82" s="7"/>
      <c r="K82" s="7"/>
      <c r="L82" s="7">
        <v>0</v>
      </c>
      <c r="M82" s="7">
        <v>0</v>
      </c>
      <c r="N82" s="7">
        <v>2</v>
      </c>
      <c r="O82" s="4">
        <f t="shared" ref="O82:O84" si="64">W82*(1-(N82-1)/6)*(1+0.5)</f>
        <v>25</v>
      </c>
      <c r="P82" s="7">
        <f t="shared" si="63"/>
        <v>3.33333333333333</v>
      </c>
      <c r="Q82" s="7">
        <v>0</v>
      </c>
      <c r="R82" s="7">
        <v>0</v>
      </c>
      <c r="S82" s="7">
        <v>0</v>
      </c>
      <c r="T82" s="7">
        <v>0</v>
      </c>
      <c r="U82" s="7">
        <f t="shared" si="51"/>
        <v>8.33333333333333</v>
      </c>
      <c r="V82" s="4">
        <v>1</v>
      </c>
      <c r="W82" s="7">
        <f t="shared" si="52"/>
        <v>20</v>
      </c>
      <c r="X82" s="4">
        <f t="shared" si="53"/>
        <v>500</v>
      </c>
      <c r="Y82" s="4">
        <f t="shared" si="54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5"/>
        <v>7291.66666666667</v>
      </c>
      <c r="AE82" s="4">
        <f t="shared" si="56"/>
        <v>365</v>
      </c>
      <c r="AF82" s="4">
        <f t="shared" si="57"/>
        <v>237</v>
      </c>
      <c r="AG82" s="4">
        <v>0.65</v>
      </c>
      <c r="AH82" s="4">
        <f t="shared" si="58"/>
        <v>237</v>
      </c>
      <c r="AI82" s="4">
        <f t="shared" si="59"/>
        <v>15</v>
      </c>
      <c r="AJ82" s="4">
        <f t="shared" si="60"/>
        <v>4740</v>
      </c>
      <c r="AK82" s="4">
        <f t="shared" si="61"/>
        <v>316</v>
      </c>
      <c r="AL82" s="7">
        <f>怪物难度系数!AC7</f>
        <v>178</v>
      </c>
      <c r="AM82">
        <f t="shared" si="62"/>
        <v>843720</v>
      </c>
    </row>
    <row r="83" customFormat="1" spans="1:39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3</v>
      </c>
      <c r="O83" s="4">
        <f t="shared" si="64"/>
        <v>25</v>
      </c>
      <c r="P83" s="7">
        <f t="shared" si="63"/>
        <v>4.16666666666667</v>
      </c>
      <c r="Q83" s="7">
        <f t="shared" ref="Q83:Q85" si="65">W83/6*1</f>
        <v>4.16666666666667</v>
      </c>
      <c r="R83" s="7">
        <v>0</v>
      </c>
      <c r="S83" s="7">
        <v>0</v>
      </c>
      <c r="T83" s="7">
        <v>0</v>
      </c>
      <c r="U83" s="7">
        <f t="shared" si="51"/>
        <v>13.3333333333333</v>
      </c>
      <c r="V83" s="4">
        <v>1</v>
      </c>
      <c r="W83" s="7">
        <f t="shared" si="52"/>
        <v>25</v>
      </c>
      <c r="X83" s="4">
        <f t="shared" si="53"/>
        <v>625</v>
      </c>
      <c r="Y83" s="4">
        <f t="shared" si="54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5"/>
        <v>11666.6666666667</v>
      </c>
      <c r="AE83" s="4">
        <f t="shared" si="56"/>
        <v>292</v>
      </c>
      <c r="AF83" s="4">
        <f t="shared" si="57"/>
        <v>204</v>
      </c>
      <c r="AG83" s="4">
        <v>0.7</v>
      </c>
      <c r="AH83" s="4">
        <f t="shared" si="58"/>
        <v>204</v>
      </c>
      <c r="AI83" s="4">
        <f t="shared" si="59"/>
        <v>15</v>
      </c>
      <c r="AJ83" s="4">
        <f t="shared" si="60"/>
        <v>8160</v>
      </c>
      <c r="AK83" s="4">
        <f t="shared" si="61"/>
        <v>544</v>
      </c>
      <c r="AL83" s="7">
        <f>怪物难度系数!AC8</f>
        <v>382</v>
      </c>
      <c r="AM83">
        <f t="shared" si="62"/>
        <v>3117120</v>
      </c>
    </row>
    <row r="84" customFormat="1" spans="1:39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/>
      <c r="K84" s="7"/>
      <c r="L84" s="7">
        <v>0</v>
      </c>
      <c r="M84" s="7">
        <v>0</v>
      </c>
      <c r="N84" s="7">
        <v>3</v>
      </c>
      <c r="O84" s="4">
        <f t="shared" si="64"/>
        <v>30</v>
      </c>
      <c r="P84" s="7">
        <f t="shared" ref="P84:P86" si="66">W84/6*(1+1)</f>
        <v>10</v>
      </c>
      <c r="Q84" s="7">
        <f t="shared" si="65"/>
        <v>5</v>
      </c>
      <c r="R84" s="7">
        <v>0</v>
      </c>
      <c r="S84" s="7">
        <v>0</v>
      </c>
      <c r="T84" s="7">
        <v>0</v>
      </c>
      <c r="U84" s="7">
        <f t="shared" si="51"/>
        <v>21</v>
      </c>
      <c r="V84" s="4">
        <v>1</v>
      </c>
      <c r="W84" s="7">
        <f t="shared" si="52"/>
        <v>30</v>
      </c>
      <c r="X84" s="4">
        <f t="shared" si="53"/>
        <v>900</v>
      </c>
      <c r="Y84" s="4">
        <f t="shared" si="54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5"/>
        <v>18375</v>
      </c>
      <c r="AE84" s="4">
        <f t="shared" si="56"/>
        <v>919</v>
      </c>
      <c r="AF84" s="4">
        <f t="shared" si="57"/>
        <v>689</v>
      </c>
      <c r="AG84" s="4">
        <v>0.75</v>
      </c>
      <c r="AH84" s="4">
        <f t="shared" si="58"/>
        <v>689</v>
      </c>
      <c r="AI84" s="4">
        <f t="shared" si="59"/>
        <v>15</v>
      </c>
      <c r="AJ84" s="4">
        <f t="shared" si="60"/>
        <v>13780</v>
      </c>
      <c r="AK84" s="4">
        <f t="shared" si="61"/>
        <v>919</v>
      </c>
      <c r="AL84" s="7">
        <f>怪物难度系数!AC9</f>
        <v>1285</v>
      </c>
      <c r="AM84">
        <f t="shared" si="62"/>
        <v>17707300</v>
      </c>
    </row>
    <row r="85" customFormat="1" spans="1:39">
      <c r="A85" s="9">
        <v>7</v>
      </c>
      <c r="B85" s="10"/>
      <c r="C85" s="10"/>
      <c r="D85" s="10"/>
      <c r="E85" s="10"/>
      <c r="F85" s="10"/>
      <c r="G85" s="10"/>
      <c r="H85" s="4">
        <v>0.5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 t="shared" ref="O85:O89" si="67">W85*(1-(N85-1)/6)*(1+0.5)*(1+0.5)</f>
        <v>39.375</v>
      </c>
      <c r="P85" s="7">
        <f t="shared" si="66"/>
        <v>11.6666666666667</v>
      </c>
      <c r="Q85" s="7">
        <f t="shared" si="65"/>
        <v>5.83333333333333</v>
      </c>
      <c r="R85" s="7">
        <f t="shared" ref="R85:R87" si="68">W85/6*1</f>
        <v>5.83333333333333</v>
      </c>
      <c r="S85" s="7">
        <v>0</v>
      </c>
      <c r="T85" s="7">
        <v>0</v>
      </c>
      <c r="U85" s="7">
        <f t="shared" si="51"/>
        <v>31.2083333333333</v>
      </c>
      <c r="V85" s="4">
        <v>1</v>
      </c>
      <c r="W85" s="7">
        <f t="shared" si="52"/>
        <v>35</v>
      </c>
      <c r="X85" s="4">
        <f t="shared" si="53"/>
        <v>1378.125</v>
      </c>
      <c r="Y85" s="4">
        <f t="shared" si="54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5"/>
        <v>27307.2916666667</v>
      </c>
      <c r="AE85" s="4">
        <f t="shared" si="56"/>
        <v>1365</v>
      </c>
      <c r="AF85" s="4">
        <f t="shared" si="57"/>
        <v>1024</v>
      </c>
      <c r="AG85" s="4">
        <v>0.75</v>
      </c>
      <c r="AH85" s="4">
        <f t="shared" si="58"/>
        <v>1024</v>
      </c>
      <c r="AI85" s="4">
        <f t="shared" si="59"/>
        <v>15</v>
      </c>
      <c r="AJ85" s="4">
        <f t="shared" si="60"/>
        <v>20480</v>
      </c>
      <c r="AK85" s="4">
        <f t="shared" si="61"/>
        <v>1365</v>
      </c>
      <c r="AL85" s="7">
        <f>怪物难度系数!AC10</f>
        <v>1909</v>
      </c>
      <c r="AM85">
        <f t="shared" si="62"/>
        <v>39096320</v>
      </c>
    </row>
    <row r="86" customFormat="1" spans="1:39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 t="shared" si="67"/>
        <v>45</v>
      </c>
      <c r="P86" s="7">
        <f t="shared" si="66"/>
        <v>13.3333333333333</v>
      </c>
      <c r="Q86" s="7">
        <f t="shared" ref="Q86:Q90" si="69">W86/6*(1+1)</f>
        <v>13.3333333333333</v>
      </c>
      <c r="R86" s="7">
        <f t="shared" si="68"/>
        <v>6.66666666666667</v>
      </c>
      <c r="S86" s="7">
        <v>0</v>
      </c>
      <c r="T86" s="7">
        <v>0</v>
      </c>
      <c r="U86" s="7">
        <f t="shared" si="51"/>
        <v>42.3333333333333</v>
      </c>
      <c r="V86" s="4">
        <v>1</v>
      </c>
      <c r="W86" s="7">
        <f t="shared" si="52"/>
        <v>40</v>
      </c>
      <c r="X86" s="4">
        <f t="shared" si="53"/>
        <v>1800</v>
      </c>
      <c r="Y86" s="4">
        <f t="shared" si="54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5"/>
        <v>37041.6666666667</v>
      </c>
      <c r="AE86" s="4">
        <f t="shared" si="56"/>
        <v>1852</v>
      </c>
      <c r="AF86" s="4">
        <f t="shared" si="57"/>
        <v>1389</v>
      </c>
      <c r="AG86" s="4">
        <v>0.75</v>
      </c>
      <c r="AH86" s="4">
        <f t="shared" si="58"/>
        <v>1389</v>
      </c>
      <c r="AI86" s="4">
        <f t="shared" si="59"/>
        <v>15</v>
      </c>
      <c r="AJ86" s="4">
        <f t="shared" si="60"/>
        <v>27780</v>
      </c>
      <c r="AK86" s="4">
        <f t="shared" si="61"/>
        <v>1852</v>
      </c>
      <c r="AL86" s="7">
        <f>怪物难度系数!AC11</f>
        <v>3736</v>
      </c>
      <c r="AM86">
        <f t="shared" si="62"/>
        <v>103786080</v>
      </c>
    </row>
    <row r="87" customFormat="1" spans="1:39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 t="shared" si="67"/>
        <v>50.625</v>
      </c>
      <c r="P87" s="7">
        <f>W87/6*(1+1.5)</f>
        <v>18.75</v>
      </c>
      <c r="Q87" s="7">
        <f t="shared" si="69"/>
        <v>15</v>
      </c>
      <c r="R87" s="7">
        <f t="shared" si="68"/>
        <v>7.5</v>
      </c>
      <c r="S87" s="7">
        <v>0</v>
      </c>
      <c r="T87" s="7">
        <v>0</v>
      </c>
      <c r="U87" s="7">
        <f t="shared" si="51"/>
        <v>51.375</v>
      </c>
      <c r="V87" s="4">
        <v>1</v>
      </c>
      <c r="W87" s="7">
        <f t="shared" si="52"/>
        <v>45</v>
      </c>
      <c r="X87" s="4">
        <f t="shared" si="53"/>
        <v>2278.125</v>
      </c>
      <c r="Y87" s="4">
        <f t="shared" si="54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5"/>
        <v>44953.125</v>
      </c>
      <c r="AE87" s="4">
        <f t="shared" si="56"/>
        <v>2248</v>
      </c>
      <c r="AF87" s="4">
        <f t="shared" si="57"/>
        <v>1686</v>
      </c>
      <c r="AG87" s="4">
        <v>0.75</v>
      </c>
      <c r="AH87" s="4">
        <f t="shared" si="58"/>
        <v>1686</v>
      </c>
      <c r="AI87" s="4">
        <f t="shared" si="59"/>
        <v>15</v>
      </c>
      <c r="AJ87" s="4">
        <f t="shared" si="60"/>
        <v>33720</v>
      </c>
      <c r="AK87" s="4">
        <f t="shared" si="61"/>
        <v>2248</v>
      </c>
      <c r="AL87" s="7">
        <f>怪物难度系数!AC12</f>
        <v>6519</v>
      </c>
      <c r="AM87">
        <f t="shared" si="62"/>
        <v>219820680</v>
      </c>
    </row>
    <row r="88" customFormat="1" spans="1:39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 t="shared" si="67"/>
        <v>56.25</v>
      </c>
      <c r="P88" s="7">
        <f>W88/6*(1+1.5)</f>
        <v>20.8333333333333</v>
      </c>
      <c r="Q88" s="7">
        <f t="shared" si="69"/>
        <v>16.6666666666667</v>
      </c>
      <c r="R88" s="7">
        <f t="shared" ref="R88:R91" si="70">W88/6*(1+1)</f>
        <v>16.6666666666667</v>
      </c>
      <c r="S88" s="7">
        <v>0</v>
      </c>
      <c r="T88" s="7">
        <v>0</v>
      </c>
      <c r="U88" s="7">
        <f t="shared" si="51"/>
        <v>65.4166666666667</v>
      </c>
      <c r="V88" s="4">
        <v>1</v>
      </c>
      <c r="W88" s="7">
        <f t="shared" si="52"/>
        <v>50</v>
      </c>
      <c r="X88" s="4">
        <f t="shared" si="53"/>
        <v>2812.5</v>
      </c>
      <c r="Y88" s="4">
        <f t="shared" si="54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5"/>
        <v>57239.5833333333</v>
      </c>
      <c r="AE88" s="4">
        <f t="shared" si="56"/>
        <v>1431</v>
      </c>
      <c r="AF88" s="4">
        <f t="shared" si="57"/>
        <v>1145</v>
      </c>
      <c r="AG88" s="4">
        <v>0.8</v>
      </c>
      <c r="AH88" s="4">
        <f t="shared" si="58"/>
        <v>1145</v>
      </c>
      <c r="AI88" s="4">
        <f t="shared" si="59"/>
        <v>15</v>
      </c>
      <c r="AJ88" s="4">
        <f t="shared" si="60"/>
        <v>45800</v>
      </c>
      <c r="AK88" s="4">
        <f t="shared" si="61"/>
        <v>3053</v>
      </c>
      <c r="AL88" s="7">
        <f>怪物难度系数!AC13</f>
        <v>9189</v>
      </c>
      <c r="AM88">
        <f t="shared" si="62"/>
        <v>420856200</v>
      </c>
    </row>
    <row r="89" customFormat="1" spans="1:39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 t="shared" si="67"/>
        <v>61.875</v>
      </c>
      <c r="P89" s="7">
        <f t="shared" ref="P89:P91" si="71">W89/6*(1+1.5)*(1+1)</f>
        <v>45.8333333333333</v>
      </c>
      <c r="Q89" s="7">
        <f t="shared" si="69"/>
        <v>18.3333333333333</v>
      </c>
      <c r="R89" s="7">
        <f t="shared" si="70"/>
        <v>18.3333333333333</v>
      </c>
      <c r="S89" s="7">
        <v>0</v>
      </c>
      <c r="T89" s="7">
        <v>0</v>
      </c>
      <c r="U89" s="7">
        <f t="shared" si="51"/>
        <v>94.875</v>
      </c>
      <c r="V89" s="4">
        <v>1</v>
      </c>
      <c r="W89" s="7">
        <f t="shared" si="52"/>
        <v>55</v>
      </c>
      <c r="X89" s="4">
        <f t="shared" si="53"/>
        <v>3403.125</v>
      </c>
      <c r="Y89" s="4">
        <f t="shared" si="54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5"/>
        <v>83015.625</v>
      </c>
      <c r="AE89" s="4">
        <f t="shared" si="56"/>
        <v>2767</v>
      </c>
      <c r="AF89" s="4">
        <f t="shared" si="57"/>
        <v>2214</v>
      </c>
      <c r="AG89" s="4">
        <v>0.8</v>
      </c>
      <c r="AH89" s="4">
        <f t="shared" si="58"/>
        <v>2214</v>
      </c>
      <c r="AI89" s="4">
        <f t="shared" si="59"/>
        <v>20</v>
      </c>
      <c r="AJ89" s="4">
        <f t="shared" si="60"/>
        <v>66420</v>
      </c>
      <c r="AK89" s="4">
        <f t="shared" si="61"/>
        <v>3321</v>
      </c>
      <c r="AL89" s="7">
        <f>怪物难度系数!AC14</f>
        <v>17775</v>
      </c>
      <c r="AM89">
        <f t="shared" si="62"/>
        <v>1180615500</v>
      </c>
    </row>
    <row r="90" customFormat="1" spans="1:39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 t="shared" ref="O90:O92" si="72">W90*(1-(N90-1)/6)*(1+1)*(1+0.5)</f>
        <v>90</v>
      </c>
      <c r="P90" s="7">
        <f t="shared" si="71"/>
        <v>50</v>
      </c>
      <c r="Q90" s="7">
        <f t="shared" si="69"/>
        <v>20</v>
      </c>
      <c r="R90" s="7">
        <f t="shared" si="70"/>
        <v>20</v>
      </c>
      <c r="S90" s="7">
        <v>0</v>
      </c>
      <c r="T90" s="7">
        <v>0</v>
      </c>
      <c r="U90" s="7">
        <f t="shared" si="51"/>
        <v>108</v>
      </c>
      <c r="V90" s="4">
        <v>1</v>
      </c>
      <c r="W90" s="7">
        <f t="shared" si="52"/>
        <v>60</v>
      </c>
      <c r="X90" s="4">
        <f t="shared" si="53"/>
        <v>5400</v>
      </c>
      <c r="Y90" s="4">
        <f t="shared" si="54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5"/>
        <v>94500</v>
      </c>
      <c r="AE90" s="4">
        <f t="shared" si="56"/>
        <v>3150</v>
      </c>
      <c r="AF90" s="4">
        <f t="shared" si="57"/>
        <v>2520</v>
      </c>
      <c r="AG90" s="4">
        <v>0.8</v>
      </c>
      <c r="AH90" s="4">
        <f t="shared" si="58"/>
        <v>2520</v>
      </c>
      <c r="AI90" s="4">
        <f t="shared" si="59"/>
        <v>20</v>
      </c>
      <c r="AJ90" s="4">
        <f t="shared" si="60"/>
        <v>75600</v>
      </c>
      <c r="AK90" s="4">
        <f t="shared" si="61"/>
        <v>3780</v>
      </c>
      <c r="AL90" s="7">
        <f>怪物难度系数!AC15</f>
        <v>20222</v>
      </c>
      <c r="AM90">
        <f t="shared" si="62"/>
        <v>1528783200</v>
      </c>
    </row>
    <row r="91" customFormat="1" spans="1:39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 t="shared" si="72"/>
        <v>97.5</v>
      </c>
      <c r="P91" s="7">
        <f t="shared" si="71"/>
        <v>54.1666666666667</v>
      </c>
      <c r="Q91" s="7">
        <f t="shared" ref="Q91:Q94" si="73">W91/6*(1+1)*(1+0.5)</f>
        <v>32.5</v>
      </c>
      <c r="R91" s="7">
        <f t="shared" si="70"/>
        <v>21.6666666666667</v>
      </c>
      <c r="S91" s="7">
        <v>0</v>
      </c>
      <c r="T91" s="7">
        <v>0</v>
      </c>
      <c r="U91" s="7">
        <f t="shared" si="51"/>
        <v>127.833333333333</v>
      </c>
      <c r="V91" s="4">
        <v>1</v>
      </c>
      <c r="W91" s="7">
        <f t="shared" si="52"/>
        <v>65</v>
      </c>
      <c r="X91" s="4">
        <f t="shared" si="53"/>
        <v>6337.5</v>
      </c>
      <c r="Y91" s="4">
        <f t="shared" si="54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5"/>
        <v>111854.166666667</v>
      </c>
      <c r="AE91" s="4">
        <f t="shared" si="56"/>
        <v>3728</v>
      </c>
      <c r="AF91" s="4">
        <f t="shared" si="57"/>
        <v>2983</v>
      </c>
      <c r="AG91" s="4">
        <v>0.8</v>
      </c>
      <c r="AH91" s="4">
        <f t="shared" si="58"/>
        <v>2983</v>
      </c>
      <c r="AI91" s="4">
        <f t="shared" si="59"/>
        <v>20</v>
      </c>
      <c r="AJ91" s="4">
        <f t="shared" si="60"/>
        <v>89490</v>
      </c>
      <c r="AK91" s="4">
        <f t="shared" si="61"/>
        <v>4475</v>
      </c>
      <c r="AL91" s="7" t="e">
        <f>怪物难度系数!AC16</f>
        <v>#DIV/0!</v>
      </c>
      <c r="AM91" t="e">
        <f t="shared" si="62"/>
        <v>#DIV/0!</v>
      </c>
    </row>
    <row r="92" customFormat="1" spans="1:39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 t="shared" si="72"/>
        <v>105</v>
      </c>
      <c r="P92" s="7">
        <f>W92/6*(1+2)*(1+1)</f>
        <v>70</v>
      </c>
      <c r="Q92" s="7">
        <f t="shared" si="73"/>
        <v>35</v>
      </c>
      <c r="R92" s="7">
        <f t="shared" ref="R92:R95" si="74">W92/6*(1+1)*(1+0.5)</f>
        <v>35</v>
      </c>
      <c r="S92" s="7">
        <v>0</v>
      </c>
      <c r="T92" s="7">
        <v>0</v>
      </c>
      <c r="U92" s="7">
        <f t="shared" si="51"/>
        <v>161</v>
      </c>
      <c r="V92" s="4">
        <v>1</v>
      </c>
      <c r="W92" s="7">
        <f t="shared" si="52"/>
        <v>70</v>
      </c>
      <c r="X92" s="4">
        <f t="shared" si="53"/>
        <v>7350</v>
      </c>
      <c r="Y92" s="4">
        <f t="shared" si="54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5"/>
        <v>140875</v>
      </c>
      <c r="AE92" s="4">
        <f t="shared" si="56"/>
        <v>4696</v>
      </c>
      <c r="AF92" s="4">
        <f t="shared" si="57"/>
        <v>3757</v>
      </c>
      <c r="AG92" s="4">
        <v>0.8</v>
      </c>
      <c r="AH92" s="4">
        <f t="shared" si="58"/>
        <v>3757</v>
      </c>
      <c r="AI92" s="4">
        <f t="shared" si="59"/>
        <v>20</v>
      </c>
      <c r="AJ92" s="4">
        <f t="shared" si="60"/>
        <v>112710</v>
      </c>
      <c r="AK92" s="4">
        <f t="shared" si="61"/>
        <v>5636</v>
      </c>
      <c r="AL92" s="7" t="e">
        <f>怪物难度系数!AC17</f>
        <v>#DIV/0!</v>
      </c>
      <c r="AM92" t="e">
        <f t="shared" si="62"/>
        <v>#DIV/0!</v>
      </c>
    </row>
    <row r="93" customFormat="1" spans="1:39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 t="shared" ref="O93:O97" si="75">W93*(1-(N93-1)/6)*(1+1)*(1+1.5)</f>
        <v>187.5</v>
      </c>
      <c r="P93" s="7">
        <f>W93/6*(1+2)*(1+1)</f>
        <v>75</v>
      </c>
      <c r="Q93" s="7">
        <f t="shared" si="73"/>
        <v>37.5</v>
      </c>
      <c r="R93" s="7">
        <f t="shared" si="74"/>
        <v>37.5</v>
      </c>
      <c r="S93" s="7">
        <v>0</v>
      </c>
      <c r="T93" s="7">
        <v>0</v>
      </c>
      <c r="U93" s="7">
        <f t="shared" si="51"/>
        <v>187.5</v>
      </c>
      <c r="V93" s="4">
        <v>1.1</v>
      </c>
      <c r="W93" s="7">
        <f t="shared" si="52"/>
        <v>75</v>
      </c>
      <c r="X93" s="4">
        <f t="shared" si="53"/>
        <v>36548.4353156946</v>
      </c>
      <c r="Y93" s="4">
        <f t="shared" si="54"/>
        <v>0</v>
      </c>
      <c r="Z93" s="7">
        <v>1</v>
      </c>
      <c r="AA93" s="7">
        <v>30</v>
      </c>
      <c r="AB93" s="7">
        <v>25</v>
      </c>
      <c r="AC93" s="7">
        <v>10</v>
      </c>
      <c r="AD93" s="7">
        <f t="shared" si="55"/>
        <v>164062.5</v>
      </c>
      <c r="AE93" s="4">
        <f t="shared" si="56"/>
        <v>6016</v>
      </c>
      <c r="AF93" s="4">
        <f t="shared" si="57"/>
        <v>4211</v>
      </c>
      <c r="AG93" s="4">
        <v>0.7</v>
      </c>
      <c r="AH93" s="4">
        <f t="shared" si="58"/>
        <v>4211</v>
      </c>
      <c r="AI93" s="4">
        <f t="shared" si="59"/>
        <v>20</v>
      </c>
      <c r="AJ93" s="4">
        <f t="shared" si="60"/>
        <v>126330</v>
      </c>
      <c r="AK93" s="4">
        <f t="shared" si="61"/>
        <v>6317</v>
      </c>
      <c r="AL93" s="7" t="e">
        <f>怪物难度系数!AC18</f>
        <v>#DIV/0!</v>
      </c>
      <c r="AM93" t="e">
        <f t="shared" si="62"/>
        <v>#DIV/0!</v>
      </c>
    </row>
    <row r="94" customFormat="1" spans="1:39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 t="shared" si="75"/>
        <v>200</v>
      </c>
      <c r="P94" s="7">
        <f t="shared" ref="P94:P98" si="76">W94/6*(1+2)*(1+2)</f>
        <v>120</v>
      </c>
      <c r="Q94" s="7">
        <f t="shared" si="73"/>
        <v>40</v>
      </c>
      <c r="R94" s="7">
        <f t="shared" si="74"/>
        <v>40</v>
      </c>
      <c r="S94" s="7">
        <v>0</v>
      </c>
      <c r="T94" s="7">
        <v>0</v>
      </c>
      <c r="U94" s="7">
        <f t="shared" ref="U94:U98" si="77">SUM(P94:T94)+O94*0.6</f>
        <v>320</v>
      </c>
      <c r="V94" s="4">
        <v>1.1</v>
      </c>
      <c r="W94" s="7">
        <f t="shared" si="52"/>
        <v>80</v>
      </c>
      <c r="X94" s="4">
        <f t="shared" si="53"/>
        <v>42124.2305386956</v>
      </c>
      <c r="Y94" s="4">
        <f t="shared" si="54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55"/>
        <v>280000</v>
      </c>
      <c r="AE94" s="4">
        <f t="shared" si="56"/>
        <v>10267</v>
      </c>
      <c r="AF94" s="4">
        <f t="shared" si="57"/>
        <v>6160</v>
      </c>
      <c r="AG94" s="4">
        <v>0.6</v>
      </c>
      <c r="AH94" s="4">
        <f t="shared" si="58"/>
        <v>6160</v>
      </c>
      <c r="AI94" s="4">
        <f t="shared" si="59"/>
        <v>20</v>
      </c>
      <c r="AJ94" s="4">
        <f t="shared" si="60"/>
        <v>184800</v>
      </c>
      <c r="AK94" s="4">
        <f t="shared" si="61"/>
        <v>9240</v>
      </c>
      <c r="AL94" s="7" t="e">
        <f>怪物难度系数!AC19</f>
        <v>#DIV/0!</v>
      </c>
      <c r="AM94" t="e">
        <f t="shared" si="62"/>
        <v>#DIV/0!</v>
      </c>
    </row>
    <row r="95" customFormat="1" spans="1:39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 t="shared" si="75"/>
        <v>212.5</v>
      </c>
      <c r="P95" s="7">
        <f t="shared" si="76"/>
        <v>127.5</v>
      </c>
      <c r="Q95" s="7">
        <f t="shared" ref="Q95:Q99" si="78">W95/6*(1+1)*(1+1)</f>
        <v>56.6666666666667</v>
      </c>
      <c r="R95" s="7">
        <f t="shared" si="74"/>
        <v>42.5</v>
      </c>
      <c r="S95" s="7">
        <v>0</v>
      </c>
      <c r="T95" s="7">
        <v>0</v>
      </c>
      <c r="U95" s="7">
        <f t="shared" si="77"/>
        <v>354.166666666667</v>
      </c>
      <c r="V95" s="4">
        <v>1.1</v>
      </c>
      <c r="W95" s="7">
        <f t="shared" si="52"/>
        <v>85</v>
      </c>
      <c r="X95" s="4">
        <f t="shared" si="53"/>
        <v>48134.4092489411</v>
      </c>
      <c r="Y95" s="4">
        <f t="shared" si="54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55"/>
        <v>309895.833333333</v>
      </c>
      <c r="AE95" s="4">
        <f t="shared" si="56"/>
        <v>11363</v>
      </c>
      <c r="AF95" s="4">
        <f t="shared" si="57"/>
        <v>8522</v>
      </c>
      <c r="AG95" s="4">
        <v>0.75</v>
      </c>
      <c r="AH95" s="4">
        <f t="shared" si="58"/>
        <v>8522</v>
      </c>
      <c r="AI95" s="4">
        <f t="shared" si="59"/>
        <v>20</v>
      </c>
      <c r="AJ95" s="4">
        <f t="shared" si="60"/>
        <v>255660</v>
      </c>
      <c r="AK95" s="4">
        <f t="shared" si="61"/>
        <v>12783</v>
      </c>
      <c r="AL95" s="7" t="e">
        <f>怪物难度系数!AC20</f>
        <v>#DIV/0!</v>
      </c>
      <c r="AM95" t="e">
        <f t="shared" si="62"/>
        <v>#DIV/0!</v>
      </c>
    </row>
    <row r="96" customFormat="1" spans="1:39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 t="shared" si="75"/>
        <v>225</v>
      </c>
      <c r="P96" s="7">
        <f t="shared" si="76"/>
        <v>135</v>
      </c>
      <c r="Q96" s="7">
        <f t="shared" si="78"/>
        <v>60</v>
      </c>
      <c r="R96" s="7">
        <f t="shared" ref="R96:R98" si="79">W96/6*(1+1)*(1+1)</f>
        <v>60</v>
      </c>
      <c r="S96" s="7">
        <v>0</v>
      </c>
      <c r="T96" s="7">
        <v>0</v>
      </c>
      <c r="U96" s="7">
        <f t="shared" si="77"/>
        <v>390</v>
      </c>
      <c r="V96" s="4">
        <v>1.1</v>
      </c>
      <c r="W96" s="7">
        <f t="shared" si="52"/>
        <v>90</v>
      </c>
      <c r="X96" s="4">
        <f t="shared" si="53"/>
        <v>54584.272991254</v>
      </c>
      <c r="Y96" s="4">
        <f t="shared" si="54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55"/>
        <v>341250</v>
      </c>
      <c r="AE96" s="4">
        <f t="shared" si="56"/>
        <v>12513</v>
      </c>
      <c r="AF96" s="4">
        <f t="shared" si="57"/>
        <v>10010</v>
      </c>
      <c r="AG96" s="4">
        <v>0.8</v>
      </c>
      <c r="AH96" s="4">
        <f t="shared" si="58"/>
        <v>10010</v>
      </c>
      <c r="AI96" s="4">
        <f t="shared" si="59"/>
        <v>20</v>
      </c>
      <c r="AJ96" s="4">
        <f t="shared" si="60"/>
        <v>300300</v>
      </c>
      <c r="AK96" s="4">
        <f t="shared" si="61"/>
        <v>15015</v>
      </c>
      <c r="AL96" s="7" t="e">
        <f>怪物难度系数!AC21</f>
        <v>#DIV/0!</v>
      </c>
      <c r="AM96" t="e">
        <f t="shared" si="62"/>
        <v>#DIV/0!</v>
      </c>
    </row>
    <row r="97" customFormat="1" spans="1:39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 t="shared" si="75"/>
        <v>237.5</v>
      </c>
      <c r="P97" s="7">
        <f t="shared" si="76"/>
        <v>142.5</v>
      </c>
      <c r="Q97" s="7">
        <f t="shared" si="78"/>
        <v>63.3333333333333</v>
      </c>
      <c r="R97" s="7">
        <f t="shared" si="79"/>
        <v>63.3333333333333</v>
      </c>
      <c r="S97" s="7">
        <v>0</v>
      </c>
      <c r="T97" s="7">
        <v>0</v>
      </c>
      <c r="U97" s="7">
        <f t="shared" si="77"/>
        <v>411.666666666667</v>
      </c>
      <c r="V97" s="4">
        <v>1.1</v>
      </c>
      <c r="W97" s="7">
        <f t="shared" si="52"/>
        <v>95</v>
      </c>
      <c r="X97" s="4">
        <f t="shared" si="53"/>
        <v>61478.8791640475</v>
      </c>
      <c r="Y97" s="4">
        <f t="shared" si="54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55"/>
        <v>360208.333333333</v>
      </c>
      <c r="AE97" s="4">
        <f t="shared" si="56"/>
        <v>13208</v>
      </c>
      <c r="AF97" s="4">
        <f t="shared" si="57"/>
        <v>11887</v>
      </c>
      <c r="AG97" s="4">
        <v>0.9</v>
      </c>
      <c r="AH97" s="4">
        <f t="shared" si="58"/>
        <v>11887</v>
      </c>
      <c r="AI97" s="4">
        <f t="shared" si="59"/>
        <v>20</v>
      </c>
      <c r="AJ97" s="4">
        <f t="shared" si="60"/>
        <v>356610</v>
      </c>
      <c r="AK97" s="4">
        <f t="shared" si="61"/>
        <v>17831</v>
      </c>
      <c r="AL97" s="7" t="e">
        <f>怪物难度系数!AC22</f>
        <v>#DIV/0!</v>
      </c>
      <c r="AM97" t="e">
        <f t="shared" si="62"/>
        <v>#DIV/0!</v>
      </c>
    </row>
    <row r="98" customFormat="1" spans="1:39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>W98*(1-(N98-1)/6)*(1+1.5)*(1+1.5)</f>
        <v>312.5</v>
      </c>
      <c r="P98" s="7">
        <f t="shared" si="76"/>
        <v>150</v>
      </c>
      <c r="Q98" s="7">
        <f t="shared" si="78"/>
        <v>66.6666666666667</v>
      </c>
      <c r="R98" s="7">
        <f t="shared" si="79"/>
        <v>66.6666666666667</v>
      </c>
      <c r="S98" s="7">
        <v>0</v>
      </c>
      <c r="T98" s="7">
        <v>0</v>
      </c>
      <c r="U98" s="7">
        <f t="shared" si="77"/>
        <v>470.833333333333</v>
      </c>
      <c r="V98" s="4">
        <v>1.1</v>
      </c>
      <c r="W98" s="7">
        <f t="shared" si="52"/>
        <v>100</v>
      </c>
      <c r="X98" s="4">
        <f t="shared" si="53"/>
        <v>87970.0874804274</v>
      </c>
      <c r="Y98" s="4">
        <f t="shared" si="54"/>
        <v>0</v>
      </c>
      <c r="Z98" s="7">
        <v>1</v>
      </c>
      <c r="AA98" s="7">
        <v>30</v>
      </c>
      <c r="AB98" s="7">
        <v>25</v>
      </c>
      <c r="AC98" s="7">
        <v>10</v>
      </c>
      <c r="AD98" s="7">
        <f t="shared" si="55"/>
        <v>411979.166666667</v>
      </c>
      <c r="AE98" s="4">
        <f t="shared" si="56"/>
        <v>15106</v>
      </c>
      <c r="AF98" s="4">
        <f t="shared" si="57"/>
        <v>12840</v>
      </c>
      <c r="AG98" s="4">
        <v>0.85</v>
      </c>
      <c r="AH98" s="4">
        <f t="shared" si="58"/>
        <v>12840</v>
      </c>
      <c r="AI98" s="4">
        <f t="shared" si="59"/>
        <v>20</v>
      </c>
      <c r="AJ98" s="4">
        <f t="shared" si="60"/>
        <v>385200</v>
      </c>
      <c r="AK98" s="4">
        <f t="shared" si="61"/>
        <v>19260</v>
      </c>
      <c r="AL98" s="7" t="e">
        <f>怪物难度系数!AC23</f>
        <v>#DIV/0!</v>
      </c>
      <c r="AM98" t="e">
        <f t="shared" si="62"/>
        <v>#DIV/0!</v>
      </c>
    </row>
    <row r="99" spans="1:39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>W99/N99*(1+1)*(1+0.5)</f>
        <v>0</v>
      </c>
      <c r="P99" s="7">
        <f t="shared" ref="P99:P102" si="80">W99/N99*(1+0.5)*(1+0.5)</f>
        <v>0</v>
      </c>
      <c r="Q99" s="7">
        <f t="shared" si="78"/>
        <v>0</v>
      </c>
      <c r="R99" s="7">
        <f t="shared" ref="R99:R104" si="81">W99/N99*(1+0.5)*(1+0.5)</f>
        <v>0</v>
      </c>
      <c r="S99" s="7">
        <f t="shared" ref="S99:S106" si="82">W99/N99*(1+0.5)*(1+0.5)</f>
        <v>0</v>
      </c>
      <c r="T99" s="7">
        <f t="shared" ref="T99:T108" si="83">W99/N99*(1+0.5)*(1+0.5)</f>
        <v>0</v>
      </c>
      <c r="U99" s="7">
        <f t="shared" ref="U99:U108" si="84">SUM(P99:T99)+O99*1</f>
        <v>0</v>
      </c>
      <c r="V99" s="4">
        <v>1.2</v>
      </c>
      <c r="W99" s="7">
        <f t="shared" ref="W99:W108" si="85">F22</f>
        <v>0</v>
      </c>
      <c r="X99" s="4">
        <f t="shared" si="53"/>
        <v>0</v>
      </c>
      <c r="Y99" s="4">
        <f t="shared" si="54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5"/>
        <v>0</v>
      </c>
      <c r="AE99" s="4">
        <f t="shared" si="56"/>
        <v>0</v>
      </c>
      <c r="AF99" s="4">
        <f t="shared" si="57"/>
        <v>0</v>
      </c>
      <c r="AG99" s="4">
        <v>1</v>
      </c>
      <c r="AH99" s="7">
        <f t="shared" si="58"/>
        <v>0</v>
      </c>
      <c r="AM99">
        <f t="shared" si="62"/>
        <v>0</v>
      </c>
    </row>
    <row r="100" spans="1:39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>W100/N100*(1+1)*(1+0.5)</f>
        <v>0</v>
      </c>
      <c r="P100" s="7">
        <f t="shared" si="80"/>
        <v>0</v>
      </c>
      <c r="Q100" s="7">
        <f t="shared" ref="Q100:Q103" si="86">W100/N100*(1+0.5)*(1+0.5)</f>
        <v>0</v>
      </c>
      <c r="R100" s="7">
        <f t="shared" si="81"/>
        <v>0</v>
      </c>
      <c r="S100" s="7">
        <f t="shared" si="82"/>
        <v>0</v>
      </c>
      <c r="T100" s="7">
        <f t="shared" si="83"/>
        <v>0</v>
      </c>
      <c r="U100" s="7">
        <f t="shared" si="84"/>
        <v>0</v>
      </c>
      <c r="V100" s="4">
        <v>1.2</v>
      </c>
      <c r="W100" s="7">
        <f t="shared" si="85"/>
        <v>0</v>
      </c>
      <c r="X100" s="4">
        <f t="shared" si="53"/>
        <v>0</v>
      </c>
      <c r="Y100" s="4">
        <f t="shared" si="54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5"/>
        <v>0</v>
      </c>
      <c r="AE100" s="4">
        <f t="shared" si="56"/>
        <v>0</v>
      </c>
      <c r="AF100" s="4">
        <f t="shared" si="57"/>
        <v>0</v>
      </c>
      <c r="AG100" s="4">
        <v>1</v>
      </c>
      <c r="AH100" s="7">
        <f t="shared" si="58"/>
        <v>0</v>
      </c>
      <c r="AM100">
        <f t="shared" si="62"/>
        <v>0</v>
      </c>
    </row>
    <row r="101" spans="1:39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ref="O101:O108" si="87">W101/N101*(1+1)*(1+1.5)</f>
        <v>0</v>
      </c>
      <c r="P101" s="7">
        <f t="shared" si="80"/>
        <v>0</v>
      </c>
      <c r="Q101" s="7">
        <f t="shared" si="86"/>
        <v>0</v>
      </c>
      <c r="R101" s="7">
        <f t="shared" si="81"/>
        <v>0</v>
      </c>
      <c r="S101" s="7">
        <f t="shared" si="82"/>
        <v>0</v>
      </c>
      <c r="T101" s="7">
        <f t="shared" si="83"/>
        <v>0</v>
      </c>
      <c r="U101" s="7">
        <f t="shared" si="84"/>
        <v>0</v>
      </c>
      <c r="V101" s="4">
        <v>1.2</v>
      </c>
      <c r="W101" s="7">
        <f t="shared" si="85"/>
        <v>0</v>
      </c>
      <c r="X101" s="4">
        <f t="shared" si="53"/>
        <v>0</v>
      </c>
      <c r="Y101" s="4">
        <f t="shared" si="54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5"/>
        <v>0</v>
      </c>
      <c r="AE101" s="4">
        <f t="shared" si="56"/>
        <v>0</v>
      </c>
      <c r="AF101" s="4">
        <f t="shared" si="57"/>
        <v>0</v>
      </c>
      <c r="AG101" s="4">
        <v>1</v>
      </c>
      <c r="AH101" s="7">
        <f t="shared" si="58"/>
        <v>0</v>
      </c>
      <c r="AM101">
        <f t="shared" si="62"/>
        <v>0</v>
      </c>
    </row>
    <row r="102" spans="1:39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87"/>
        <v>0</v>
      </c>
      <c r="P102" s="7">
        <f t="shared" si="80"/>
        <v>0</v>
      </c>
      <c r="Q102" s="7">
        <f t="shared" si="86"/>
        <v>0</v>
      </c>
      <c r="R102" s="7">
        <f t="shared" si="81"/>
        <v>0</v>
      </c>
      <c r="S102" s="7">
        <f t="shared" si="82"/>
        <v>0</v>
      </c>
      <c r="T102" s="7">
        <f t="shared" si="83"/>
        <v>0</v>
      </c>
      <c r="U102" s="7">
        <f t="shared" si="84"/>
        <v>0</v>
      </c>
      <c r="V102" s="4">
        <v>1.2</v>
      </c>
      <c r="W102" s="7">
        <f t="shared" si="85"/>
        <v>0</v>
      </c>
      <c r="X102" s="4">
        <f t="shared" si="53"/>
        <v>0</v>
      </c>
      <c r="Y102" s="4">
        <f t="shared" si="54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5"/>
        <v>0</v>
      </c>
      <c r="AE102" s="4">
        <f t="shared" si="56"/>
        <v>0</v>
      </c>
      <c r="AF102" s="4">
        <f t="shared" si="57"/>
        <v>0</v>
      </c>
      <c r="AG102" s="4">
        <v>1</v>
      </c>
      <c r="AH102" s="7">
        <f t="shared" si="58"/>
        <v>0</v>
      </c>
      <c r="AM102">
        <f t="shared" si="62"/>
        <v>0</v>
      </c>
    </row>
    <row r="103" spans="1:39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87"/>
        <v>0</v>
      </c>
      <c r="P103" s="7">
        <f t="shared" ref="P103:P108" si="88">W103/N103*(1+1)*(1+0.5)</f>
        <v>0</v>
      </c>
      <c r="Q103" s="7">
        <f t="shared" si="86"/>
        <v>0</v>
      </c>
      <c r="R103" s="7">
        <f t="shared" si="81"/>
        <v>0</v>
      </c>
      <c r="S103" s="7">
        <f t="shared" si="82"/>
        <v>0</v>
      </c>
      <c r="T103" s="7">
        <f t="shared" si="83"/>
        <v>0</v>
      </c>
      <c r="U103" s="7">
        <f t="shared" si="84"/>
        <v>0</v>
      </c>
      <c r="V103" s="4">
        <v>1.3</v>
      </c>
      <c r="W103" s="7">
        <f t="shared" si="85"/>
        <v>0</v>
      </c>
      <c r="X103" s="4">
        <f t="shared" si="53"/>
        <v>0</v>
      </c>
      <c r="Y103" s="4">
        <f t="shared" si="54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5"/>
        <v>0</v>
      </c>
      <c r="AE103" s="4">
        <f t="shared" si="56"/>
        <v>0</v>
      </c>
      <c r="AF103" s="4">
        <f t="shared" si="57"/>
        <v>0</v>
      </c>
      <c r="AG103" s="4">
        <v>1</v>
      </c>
      <c r="AH103" s="7">
        <f t="shared" si="58"/>
        <v>0</v>
      </c>
      <c r="AM103">
        <f t="shared" si="62"/>
        <v>0</v>
      </c>
    </row>
    <row r="104" spans="1:39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6</v>
      </c>
      <c r="O104" s="4">
        <f t="shared" si="87"/>
        <v>0</v>
      </c>
      <c r="P104" s="7">
        <f t="shared" si="88"/>
        <v>0</v>
      </c>
      <c r="Q104" s="7">
        <f t="shared" ref="Q104:Q108" si="89">W104/N104*(1+1)*(1+0.5)</f>
        <v>0</v>
      </c>
      <c r="R104" s="7">
        <f t="shared" si="81"/>
        <v>0</v>
      </c>
      <c r="S104" s="7">
        <f t="shared" si="82"/>
        <v>0</v>
      </c>
      <c r="T104" s="7">
        <f t="shared" si="83"/>
        <v>0</v>
      </c>
      <c r="U104" s="7">
        <f t="shared" si="84"/>
        <v>0</v>
      </c>
      <c r="V104" s="4">
        <v>1.3</v>
      </c>
      <c r="W104" s="7">
        <f t="shared" si="85"/>
        <v>0</v>
      </c>
      <c r="X104" s="4">
        <f t="shared" si="53"/>
        <v>0</v>
      </c>
      <c r="Y104" s="4">
        <f t="shared" si="54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5"/>
        <v>0</v>
      </c>
      <c r="AE104" s="4">
        <f t="shared" si="56"/>
        <v>0</v>
      </c>
      <c r="AF104" s="4">
        <f t="shared" si="57"/>
        <v>0</v>
      </c>
      <c r="AG104" s="4">
        <v>1</v>
      </c>
      <c r="AH104" s="7">
        <f t="shared" si="58"/>
        <v>0</v>
      </c>
      <c r="AM104">
        <f t="shared" si="62"/>
        <v>0</v>
      </c>
    </row>
    <row r="105" spans="1:39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6</v>
      </c>
      <c r="O105" s="4">
        <f t="shared" si="87"/>
        <v>0</v>
      </c>
      <c r="P105" s="7">
        <f t="shared" si="88"/>
        <v>0</v>
      </c>
      <c r="Q105" s="7">
        <f t="shared" si="89"/>
        <v>0</v>
      </c>
      <c r="R105" s="7">
        <f t="shared" ref="R105:R108" si="90">W105/N105*(1+1)*(1+0.5)</f>
        <v>0</v>
      </c>
      <c r="S105" s="7">
        <f t="shared" si="82"/>
        <v>0</v>
      </c>
      <c r="T105" s="7">
        <f t="shared" si="83"/>
        <v>0</v>
      </c>
      <c r="U105" s="7">
        <f t="shared" si="84"/>
        <v>0</v>
      </c>
      <c r="V105" s="4">
        <v>1.3</v>
      </c>
      <c r="W105" s="7">
        <f t="shared" si="85"/>
        <v>0</v>
      </c>
      <c r="X105" s="4">
        <f t="shared" si="53"/>
        <v>0</v>
      </c>
      <c r="Y105" s="4">
        <f t="shared" si="54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5"/>
        <v>0</v>
      </c>
      <c r="AE105" s="4">
        <f t="shared" si="56"/>
        <v>0</v>
      </c>
      <c r="AF105" s="4">
        <f t="shared" si="57"/>
        <v>0</v>
      </c>
      <c r="AG105" s="4">
        <v>1</v>
      </c>
      <c r="AH105" s="7">
        <f t="shared" si="58"/>
        <v>0</v>
      </c>
      <c r="AM105">
        <f t="shared" si="62"/>
        <v>0</v>
      </c>
    </row>
    <row r="106" spans="1:39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6</v>
      </c>
      <c r="O106" s="4">
        <f t="shared" si="87"/>
        <v>0</v>
      </c>
      <c r="P106" s="7">
        <f t="shared" si="88"/>
        <v>0</v>
      </c>
      <c r="Q106" s="7">
        <f t="shared" si="89"/>
        <v>0</v>
      </c>
      <c r="R106" s="7">
        <f t="shared" si="90"/>
        <v>0</v>
      </c>
      <c r="S106" s="7">
        <f t="shared" si="82"/>
        <v>0</v>
      </c>
      <c r="T106" s="7">
        <f t="shared" si="83"/>
        <v>0</v>
      </c>
      <c r="U106" s="7">
        <f t="shared" si="84"/>
        <v>0</v>
      </c>
      <c r="V106" s="4">
        <v>1.3</v>
      </c>
      <c r="W106" s="7">
        <f t="shared" si="85"/>
        <v>0</v>
      </c>
      <c r="X106" s="4">
        <f t="shared" si="53"/>
        <v>0</v>
      </c>
      <c r="Y106" s="4">
        <f t="shared" si="54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5"/>
        <v>0</v>
      </c>
      <c r="AE106" s="4">
        <f t="shared" si="56"/>
        <v>0</v>
      </c>
      <c r="AF106" s="4">
        <f t="shared" si="57"/>
        <v>0</v>
      </c>
      <c r="AG106" s="4">
        <v>1</v>
      </c>
      <c r="AH106" s="7">
        <f t="shared" si="58"/>
        <v>0</v>
      </c>
      <c r="AM106">
        <f t="shared" si="62"/>
        <v>0</v>
      </c>
    </row>
    <row r="107" spans="1:39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6</v>
      </c>
      <c r="O107" s="4">
        <f t="shared" si="87"/>
        <v>0</v>
      </c>
      <c r="P107" s="7">
        <f t="shared" si="88"/>
        <v>0</v>
      </c>
      <c r="Q107" s="7">
        <f t="shared" si="89"/>
        <v>0</v>
      </c>
      <c r="R107" s="7">
        <f t="shared" si="90"/>
        <v>0</v>
      </c>
      <c r="S107" s="7">
        <f>W107/N107*(1+1)*(1+0.5)</f>
        <v>0</v>
      </c>
      <c r="T107" s="7">
        <f t="shared" si="83"/>
        <v>0</v>
      </c>
      <c r="U107" s="7">
        <f t="shared" si="84"/>
        <v>0</v>
      </c>
      <c r="V107" s="4">
        <v>1.3</v>
      </c>
      <c r="W107" s="7">
        <f t="shared" si="85"/>
        <v>0</v>
      </c>
      <c r="X107" s="4">
        <f t="shared" si="53"/>
        <v>0</v>
      </c>
      <c r="Y107" s="4">
        <f t="shared" si="54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5"/>
        <v>0</v>
      </c>
      <c r="AE107" s="4">
        <f t="shared" si="56"/>
        <v>0</v>
      </c>
      <c r="AF107" s="4">
        <f t="shared" si="57"/>
        <v>0</v>
      </c>
      <c r="AG107" s="4">
        <v>1</v>
      </c>
      <c r="AH107" s="7">
        <f t="shared" si="58"/>
        <v>0</v>
      </c>
      <c r="AM107">
        <f t="shared" si="62"/>
        <v>0</v>
      </c>
    </row>
    <row r="108" spans="1:39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6</v>
      </c>
      <c r="O108" s="4">
        <f t="shared" si="87"/>
        <v>0</v>
      </c>
      <c r="P108" s="7">
        <f t="shared" si="88"/>
        <v>0</v>
      </c>
      <c r="Q108" s="7">
        <f t="shared" si="89"/>
        <v>0</v>
      </c>
      <c r="R108" s="7">
        <f t="shared" si="90"/>
        <v>0</v>
      </c>
      <c r="S108" s="7">
        <f>W108/N108*(1+1)*(1+0.5)</f>
        <v>0</v>
      </c>
      <c r="T108" s="7">
        <f t="shared" si="83"/>
        <v>0</v>
      </c>
      <c r="U108" s="7">
        <f t="shared" si="84"/>
        <v>0</v>
      </c>
      <c r="V108" s="4">
        <v>1.4</v>
      </c>
      <c r="W108" s="7">
        <f t="shared" si="85"/>
        <v>0</v>
      </c>
      <c r="X108" s="4">
        <f t="shared" si="53"/>
        <v>0</v>
      </c>
      <c r="Y108" s="4">
        <f t="shared" si="54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5"/>
        <v>0</v>
      </c>
      <c r="AE108" s="4">
        <f t="shared" si="56"/>
        <v>0</v>
      </c>
      <c r="AF108" s="4">
        <f t="shared" si="57"/>
        <v>0</v>
      </c>
      <c r="AG108" s="4">
        <v>1</v>
      </c>
      <c r="AH108" s="7">
        <f t="shared" si="58"/>
        <v>0</v>
      </c>
      <c r="AM108">
        <f t="shared" si="62"/>
        <v>0</v>
      </c>
    </row>
    <row r="109" spans="15:34">
      <c r="O109" s="4"/>
      <c r="P109" s="4"/>
      <c r="AH109" s="7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25"/>
  <sheetViews>
    <sheetView topLeftCell="T28" workbookViewId="0">
      <selection activeCell="AK80" sqref="AK80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29" max="29" width="8.88888888888889" style="7"/>
    <col min="30" max="30" width="12.8888888888889"/>
    <col min="35" max="39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628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1801</v>
      </c>
      <c r="Y1" s="7">
        <v>3</v>
      </c>
      <c r="Z1" s="4">
        <v>1802</v>
      </c>
      <c r="AA1" s="7">
        <v>1803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v>4</v>
      </c>
      <c r="D2" s="7">
        <v>0</v>
      </c>
      <c r="E2" s="7">
        <f t="shared" ref="E2:E11" si="0">INDEX($B$39:$B$49,MATCH(D2,$A$39:$A$49,0))</f>
        <v>1</v>
      </c>
      <c r="F2" s="7">
        <f t="shared" ref="F2:F33" si="1">ROUND(C2*$Y$6/100,0)</f>
        <v>3</v>
      </c>
      <c r="G2" s="7">
        <f t="shared" ref="G2:G11" si="2">E2*F2/2</f>
        <v>1.5</v>
      </c>
      <c r="H2" s="7">
        <v>1</v>
      </c>
      <c r="I2" s="7"/>
      <c r="J2" s="7"/>
      <c r="K2" s="7"/>
      <c r="L2" s="7"/>
      <c r="M2" s="7">
        <v>0</v>
      </c>
      <c r="N2" s="7">
        <f>IF(A2&lt;5,$X$1,IF(A2&gt;10,$AA$1,$Z$1))</f>
        <v>1801</v>
      </c>
      <c r="O2" s="7">
        <v>15</v>
      </c>
      <c r="P2" s="7" t="str">
        <f>IF(H2=1,"",INDEX($X$1:$X$3,MATCH(H2,$V$1:$V$3,0)))</f>
        <v/>
      </c>
      <c r="Q2" s="7" t="str">
        <f t="shared" ref="Q2:Q31" si="3">IF(H2=1,"",IF(H2=2,5,1))</f>
        <v/>
      </c>
      <c r="R2" s="7"/>
      <c r="S2" s="7">
        <f t="shared" ref="S2:S21" si="4">SUM(J2,Q2,,O2,L2)</f>
        <v>15</v>
      </c>
      <c r="T2" s="7"/>
      <c r="U2" s="7">
        <f t="shared" ref="U2:U21" si="5">SUM(J2,L2)+15</f>
        <v>15</v>
      </c>
      <c r="V2" s="7">
        <v>2</v>
      </c>
      <c r="W2" s="4" t="s">
        <v>577</v>
      </c>
      <c r="X2" s="8">
        <v>1805</v>
      </c>
      <c r="Y2" s="4">
        <v>5</v>
      </c>
      <c r="AA2" s="7"/>
      <c r="AB2" s="4">
        <v>100</v>
      </c>
      <c r="AC2" s="7">
        <v>50</v>
      </c>
    </row>
    <row r="3" spans="1:27">
      <c r="A3" s="7">
        <v>2</v>
      </c>
      <c r="B3" s="7">
        <f>B2+$AB$2+20</f>
        <v>220</v>
      </c>
      <c r="C3" s="7">
        <v>4</v>
      </c>
      <c r="D3" s="7">
        <v>0</v>
      </c>
      <c r="E3" s="7">
        <f t="shared" si="0"/>
        <v>1</v>
      </c>
      <c r="F3" s="7">
        <f t="shared" si="1"/>
        <v>3</v>
      </c>
      <c r="G3" s="7">
        <f t="shared" si="2"/>
        <v>1.5</v>
      </c>
      <c r="H3" s="7">
        <v>1</v>
      </c>
      <c r="I3" s="7"/>
      <c r="J3" s="7"/>
      <c r="K3" s="7"/>
      <c r="L3" s="7"/>
      <c r="M3" s="7">
        <v>0</v>
      </c>
      <c r="N3" s="7">
        <f>IF(A3&lt;5,$X$1,IF(A3&gt;10,$AA$1,$Z$1))</f>
        <v>1801</v>
      </c>
      <c r="O3" s="7">
        <v>15</v>
      </c>
      <c r="P3" s="7" t="str">
        <f>IF(H3=1,"",INDEX($X$1:$X$3,MATCH(H3,$V$1:$V$3,0)))</f>
        <v/>
      </c>
      <c r="Q3" s="7" t="str">
        <f t="shared" si="3"/>
        <v/>
      </c>
      <c r="R3" s="7"/>
      <c r="S3" s="7">
        <f t="shared" si="4"/>
        <v>15</v>
      </c>
      <c r="T3" s="7"/>
      <c r="U3" s="7">
        <f t="shared" si="5"/>
        <v>15</v>
      </c>
      <c r="V3" s="7">
        <v>3</v>
      </c>
      <c r="W3" s="4" t="s">
        <v>578</v>
      </c>
      <c r="X3" s="8">
        <v>1806</v>
      </c>
      <c r="Y3" s="7">
        <v>10</v>
      </c>
      <c r="AA3" s="7"/>
    </row>
    <row r="4" spans="1:27">
      <c r="A4" s="7">
        <v>3</v>
      </c>
      <c r="B4" s="7">
        <f>B3+$AB$2+20</f>
        <v>340</v>
      </c>
      <c r="C4" s="7">
        <v>4</v>
      </c>
      <c r="D4" s="7">
        <v>1</v>
      </c>
      <c r="E4" s="7">
        <f t="shared" si="0"/>
        <v>1.5</v>
      </c>
      <c r="F4" s="7">
        <f t="shared" si="1"/>
        <v>3</v>
      </c>
      <c r="G4" s="7">
        <f t="shared" si="2"/>
        <v>2.25</v>
      </c>
      <c r="H4" s="7">
        <v>1</v>
      </c>
      <c r="I4" s="7"/>
      <c r="J4" s="7"/>
      <c r="K4" s="7"/>
      <c r="L4" s="7"/>
      <c r="M4" s="7">
        <v>0</v>
      </c>
      <c r="N4" s="7">
        <f>IF(A4&lt;5,$X$1,IF(A4&gt;10,$AA$1,$Z$1))</f>
        <v>1801</v>
      </c>
      <c r="O4" s="7">
        <v>15</v>
      </c>
      <c r="P4" s="7" t="str">
        <f>IF(H4=1,"",INDEX($X$1:$X$3,MATCH(H4,$V$1:$V$3,0)))</f>
        <v/>
      </c>
      <c r="Q4" s="7" t="str">
        <f t="shared" si="3"/>
        <v/>
      </c>
      <c r="R4" s="7"/>
      <c r="S4" s="7">
        <f t="shared" si="4"/>
        <v>15</v>
      </c>
      <c r="T4" s="7"/>
      <c r="U4" s="7">
        <f t="shared" si="5"/>
        <v>15</v>
      </c>
      <c r="V4" s="7"/>
      <c r="W4" s="4"/>
      <c r="X4" s="4"/>
      <c r="Y4" s="4"/>
      <c r="AA4" s="7"/>
    </row>
    <row r="5" spans="1:27">
      <c r="A5" s="7">
        <v>4</v>
      </c>
      <c r="B5" s="7">
        <f>B4+$AB$2+20</f>
        <v>460</v>
      </c>
      <c r="C5" s="7">
        <v>4</v>
      </c>
      <c r="D5" s="7">
        <v>1</v>
      </c>
      <c r="E5" s="7">
        <f t="shared" si="0"/>
        <v>1.5</v>
      </c>
      <c r="F5" s="7">
        <f t="shared" si="1"/>
        <v>3</v>
      </c>
      <c r="G5" s="7">
        <f t="shared" si="2"/>
        <v>2.25</v>
      </c>
      <c r="H5" s="7">
        <v>1</v>
      </c>
      <c r="I5" s="7"/>
      <c r="J5" s="7"/>
      <c r="K5" s="7"/>
      <c r="L5" s="7"/>
      <c r="M5" s="7">
        <v>20</v>
      </c>
      <c r="N5" s="7">
        <f>IF(A5&lt;5,$X$1,IF(A5&gt;10,$AA$1,$Z$1))</f>
        <v>1801</v>
      </c>
      <c r="O5" s="7">
        <v>15</v>
      </c>
      <c r="P5" s="7" t="str">
        <f>IF(H5=1,"",INDEX($X$1:$X$3,MATCH(H5,$V$1:$V$3,0)))</f>
        <v/>
      </c>
      <c r="Q5" s="7" t="str">
        <f t="shared" si="3"/>
        <v/>
      </c>
      <c r="R5" s="7"/>
      <c r="S5" s="7">
        <f t="shared" si="4"/>
        <v>15</v>
      </c>
      <c r="T5" s="7"/>
      <c r="U5" s="7">
        <f t="shared" si="5"/>
        <v>15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B5+$AB$2+20</f>
        <v>580</v>
      </c>
      <c r="C6" s="7">
        <v>4</v>
      </c>
      <c r="D6" s="7">
        <v>2</v>
      </c>
      <c r="E6" s="7">
        <f t="shared" si="0"/>
        <v>2.25</v>
      </c>
      <c r="F6" s="7">
        <f t="shared" si="1"/>
        <v>3</v>
      </c>
      <c r="G6" s="7">
        <f t="shared" si="2"/>
        <v>3.375</v>
      </c>
      <c r="H6" s="7">
        <v>2</v>
      </c>
      <c r="I6" s="7"/>
      <c r="J6" s="7"/>
      <c r="K6" s="7"/>
      <c r="L6" s="7"/>
      <c r="M6" s="7">
        <v>40</v>
      </c>
      <c r="N6" s="7">
        <f>IF(A6&lt;5,$X$1,IF(A6&gt;10,$AA$1,$Z$1))</f>
        <v>1802</v>
      </c>
      <c r="O6" s="7">
        <v>15</v>
      </c>
      <c r="P6" s="7">
        <f>IF(H6=1,"",INDEX($X$1:$X$3,MATCH(H6,$V$1:$V$3,0)))</f>
        <v>1805</v>
      </c>
      <c r="Q6" s="7">
        <f t="shared" si="3"/>
        <v>5</v>
      </c>
      <c r="R6" s="7"/>
      <c r="S6" s="7">
        <f t="shared" si="4"/>
        <v>20</v>
      </c>
      <c r="T6" s="7"/>
      <c r="U6" s="7">
        <f t="shared" si="5"/>
        <v>15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6">ROUND(85*Y6/100,0)</f>
        <v>68</v>
      </c>
      <c r="AA6" s="7">
        <f t="shared" ref="AA6:AA10" si="7">ROUND($W$13*Y6/100,0)</f>
        <v>48</v>
      </c>
    </row>
    <row r="7" spans="1:27">
      <c r="A7" s="7">
        <v>6</v>
      </c>
      <c r="B7" s="7">
        <f>B6+$AB$2+20</f>
        <v>700</v>
      </c>
      <c r="C7" s="7">
        <v>4</v>
      </c>
      <c r="D7" s="7">
        <v>2</v>
      </c>
      <c r="E7" s="7">
        <f t="shared" si="0"/>
        <v>2.25</v>
      </c>
      <c r="F7" s="7">
        <f t="shared" si="1"/>
        <v>3</v>
      </c>
      <c r="G7" s="7">
        <f t="shared" si="2"/>
        <v>3.375</v>
      </c>
      <c r="H7" s="7">
        <v>1</v>
      </c>
      <c r="I7" s="7"/>
      <c r="J7" s="7"/>
      <c r="K7" s="7"/>
      <c r="L7" s="7"/>
      <c r="M7" s="7">
        <v>60</v>
      </c>
      <c r="N7" s="7">
        <f>IF(A7&lt;5,$X$1,IF(A7&gt;10,$AA$1,$Z$1))</f>
        <v>1802</v>
      </c>
      <c r="O7" s="7">
        <v>15</v>
      </c>
      <c r="P7" s="7" t="str">
        <f>IF(H7=1,"",INDEX($X$1:$X$3,MATCH(H7,$V$1:$V$3,0)))</f>
        <v/>
      </c>
      <c r="Q7" s="7" t="str">
        <f t="shared" si="3"/>
        <v/>
      </c>
      <c r="R7" s="7"/>
      <c r="S7" s="7">
        <f t="shared" si="4"/>
        <v>15</v>
      </c>
      <c r="T7" s="7"/>
      <c r="U7" s="7">
        <f t="shared" si="5"/>
        <v>15</v>
      </c>
      <c r="V7" s="7">
        <v>2</v>
      </c>
      <c r="W7" s="7" t="s">
        <v>583</v>
      </c>
      <c r="X7" s="7">
        <v>90</v>
      </c>
      <c r="Y7" s="4">
        <v>3</v>
      </c>
      <c r="Z7" s="7">
        <f t="shared" si="6"/>
        <v>3</v>
      </c>
      <c r="AA7" s="7">
        <f t="shared" si="7"/>
        <v>2</v>
      </c>
    </row>
    <row r="8" spans="1:27">
      <c r="A8" s="7">
        <v>7</v>
      </c>
      <c r="B8" s="7">
        <f>B7+$AB$2+20</f>
        <v>820</v>
      </c>
      <c r="C8" s="7">
        <v>4</v>
      </c>
      <c r="D8" s="7">
        <v>3</v>
      </c>
      <c r="E8" s="7">
        <f t="shared" si="0"/>
        <v>3</v>
      </c>
      <c r="F8" s="7">
        <f t="shared" si="1"/>
        <v>3</v>
      </c>
      <c r="G8" s="7">
        <f t="shared" si="2"/>
        <v>4.5</v>
      </c>
      <c r="H8" s="7">
        <v>1</v>
      </c>
      <c r="I8" s="7"/>
      <c r="J8" s="7"/>
      <c r="K8" s="7"/>
      <c r="L8" s="7"/>
      <c r="M8" s="7">
        <v>80</v>
      </c>
      <c r="N8" s="7">
        <f>IF(A8&lt;5,$X$1,IF(A8&gt;10,$AA$1,$Z$1))</f>
        <v>1802</v>
      </c>
      <c r="O8" s="7">
        <v>15</v>
      </c>
      <c r="P8" s="7" t="str">
        <f>IF(H8=1,"",INDEX($X$1:$X$3,MATCH(H8,$V$1:$V$3,0)))</f>
        <v/>
      </c>
      <c r="Q8" s="7" t="str">
        <f t="shared" si="3"/>
        <v/>
      </c>
      <c r="R8" s="7"/>
      <c r="S8" s="7">
        <f t="shared" si="4"/>
        <v>15</v>
      </c>
      <c r="T8" s="7"/>
      <c r="U8" s="7">
        <f t="shared" si="5"/>
        <v>15</v>
      </c>
      <c r="V8" s="7">
        <v>3</v>
      </c>
      <c r="W8" s="7" t="s">
        <v>584</v>
      </c>
      <c r="X8" s="7">
        <v>50</v>
      </c>
      <c r="Y8" s="4">
        <v>3</v>
      </c>
      <c r="Z8" s="7">
        <f t="shared" si="6"/>
        <v>3</v>
      </c>
      <c r="AA8" s="7">
        <f t="shared" si="7"/>
        <v>2</v>
      </c>
    </row>
    <row r="9" spans="1:27">
      <c r="A9" s="7">
        <v>8</v>
      </c>
      <c r="B9" s="7">
        <f>B8+$AB$2+20</f>
        <v>940</v>
      </c>
      <c r="C9" s="7">
        <v>4</v>
      </c>
      <c r="D9" s="7">
        <v>3</v>
      </c>
      <c r="E9" s="7">
        <f t="shared" si="0"/>
        <v>3</v>
      </c>
      <c r="F9" s="7">
        <f t="shared" si="1"/>
        <v>3</v>
      </c>
      <c r="G9" s="7">
        <f t="shared" si="2"/>
        <v>4.5</v>
      </c>
      <c r="H9" s="7">
        <v>1</v>
      </c>
      <c r="I9" s="7"/>
      <c r="J9" s="7"/>
      <c r="K9" s="7"/>
      <c r="L9" s="7"/>
      <c r="M9" s="7">
        <v>110</v>
      </c>
      <c r="N9" s="7">
        <f>IF(A9&lt;5,$X$1,IF(A9&gt;10,$AA$1,$Z$1))</f>
        <v>1802</v>
      </c>
      <c r="O9" s="7">
        <v>15</v>
      </c>
      <c r="P9" s="7" t="str">
        <f>IF(H9=1,"",INDEX($X$1:$X$3,MATCH(H9,$V$1:$V$3,0)))</f>
        <v/>
      </c>
      <c r="Q9" s="7" t="str">
        <f t="shared" si="3"/>
        <v/>
      </c>
      <c r="R9" s="7"/>
      <c r="S9" s="7">
        <f t="shared" si="4"/>
        <v>15</v>
      </c>
      <c r="T9" s="7"/>
      <c r="U9" s="7">
        <f t="shared" si="5"/>
        <v>15</v>
      </c>
      <c r="V9" s="7">
        <v>4</v>
      </c>
      <c r="W9" s="7" t="s">
        <v>585</v>
      </c>
      <c r="X9" s="7">
        <v>35</v>
      </c>
      <c r="Y9" s="4">
        <v>6</v>
      </c>
      <c r="Z9" s="7">
        <f t="shared" si="6"/>
        <v>5</v>
      </c>
      <c r="AA9" s="7">
        <f t="shared" si="7"/>
        <v>4</v>
      </c>
    </row>
    <row r="10" spans="1:27">
      <c r="A10" s="7">
        <v>9</v>
      </c>
      <c r="B10" s="7">
        <f>B9+$AB$2+20</f>
        <v>1060</v>
      </c>
      <c r="C10" s="7">
        <v>4</v>
      </c>
      <c r="D10" s="7">
        <v>4</v>
      </c>
      <c r="E10" s="7">
        <f t="shared" si="0"/>
        <v>3.75</v>
      </c>
      <c r="F10" s="7">
        <f t="shared" si="1"/>
        <v>3</v>
      </c>
      <c r="G10" s="7">
        <f t="shared" si="2"/>
        <v>5.625</v>
      </c>
      <c r="H10" s="7">
        <v>1</v>
      </c>
      <c r="I10" s="7"/>
      <c r="J10" s="7"/>
      <c r="K10" s="7"/>
      <c r="L10" s="7"/>
      <c r="M10" s="7">
        <v>140</v>
      </c>
      <c r="N10" s="7">
        <f>IF(A10&lt;5,$X$1,IF(A10&gt;10,$AA$1,$Z$1))</f>
        <v>1802</v>
      </c>
      <c r="O10" s="7">
        <v>15</v>
      </c>
      <c r="P10" s="7" t="str">
        <f>IF(H10=1,"",INDEX($X$1:$X$3,MATCH(H10,$V$1:$V$3,0)))</f>
        <v/>
      </c>
      <c r="Q10" s="7" t="str">
        <f t="shared" si="3"/>
        <v/>
      </c>
      <c r="R10" s="7"/>
      <c r="S10" s="7">
        <f t="shared" si="4"/>
        <v>15</v>
      </c>
      <c r="T10" s="7"/>
      <c r="U10" s="7">
        <f t="shared" si="5"/>
        <v>15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6"/>
        <v>7</v>
      </c>
      <c r="AA10" s="7">
        <f t="shared" si="7"/>
        <v>5</v>
      </c>
    </row>
    <row r="11" spans="1:27">
      <c r="A11" s="7">
        <v>10</v>
      </c>
      <c r="B11" s="7">
        <f>B10+$AB$2+20</f>
        <v>1180</v>
      </c>
      <c r="C11" s="7">
        <v>4</v>
      </c>
      <c r="D11" s="7">
        <v>6</v>
      </c>
      <c r="E11" s="7">
        <f t="shared" si="0"/>
        <v>5</v>
      </c>
      <c r="F11" s="7">
        <f t="shared" si="1"/>
        <v>3</v>
      </c>
      <c r="G11" s="7">
        <f t="shared" si="2"/>
        <v>7.5</v>
      </c>
      <c r="H11" s="7">
        <v>3</v>
      </c>
      <c r="I11" s="7"/>
      <c r="J11" s="7"/>
      <c r="K11" s="7"/>
      <c r="L11" s="7"/>
      <c r="M11" s="7">
        <v>180</v>
      </c>
      <c r="N11" s="7">
        <f>IF(A11&lt;5,$X$1,IF(A11&gt;10,$AA$1,$Z$1))</f>
        <v>1802</v>
      </c>
      <c r="O11" s="7">
        <v>15</v>
      </c>
      <c r="P11" s="7">
        <f>IF(H11=1,"",INDEX($X$1:$X$3,MATCH(H11,$V$1:$V$3,0)))</f>
        <v>1806</v>
      </c>
      <c r="Q11" s="7">
        <f t="shared" si="3"/>
        <v>1</v>
      </c>
      <c r="R11" s="7"/>
      <c r="S11" s="7">
        <f t="shared" si="4"/>
        <v>16</v>
      </c>
      <c r="T11" s="7"/>
      <c r="U11" s="7">
        <f t="shared" si="5"/>
        <v>15</v>
      </c>
      <c r="V11" s="7"/>
      <c r="Y11" s="4"/>
      <c r="AA11" s="7"/>
    </row>
    <row r="12" spans="1:27">
      <c r="A12" s="7">
        <v>11</v>
      </c>
      <c r="B12" s="7">
        <f>B11+$AB$2+20</f>
        <v>1300</v>
      </c>
      <c r="C12" s="7">
        <v>4</v>
      </c>
      <c r="D12" s="7">
        <v>5</v>
      </c>
      <c r="E12" s="7"/>
      <c r="F12" s="7">
        <f t="shared" si="1"/>
        <v>3</v>
      </c>
      <c r="G12" s="7">
        <f t="shared" ref="G12:G14" si="8">($G$15-$G$11)/4+G11</f>
        <v>21.825</v>
      </c>
      <c r="H12" s="7">
        <v>1</v>
      </c>
      <c r="I12" s="7"/>
      <c r="J12" s="7"/>
      <c r="K12" s="7"/>
      <c r="L12" s="7"/>
      <c r="M12" s="7">
        <v>220</v>
      </c>
      <c r="N12" s="7">
        <f>IF(A12&lt;5,$X$1,IF(A12&gt;10,$AA$1,$Z$1))</f>
        <v>1803</v>
      </c>
      <c r="O12" s="7">
        <v>20</v>
      </c>
      <c r="P12" s="7" t="str">
        <f>IF(H12=1,"",INDEX($X$1:$X$3,MATCH(H12,$V$1:$V$3,0)))</f>
        <v/>
      </c>
      <c r="Q12" s="7" t="str">
        <f t="shared" si="3"/>
        <v/>
      </c>
      <c r="R12" s="7"/>
      <c r="S12" s="7">
        <f t="shared" si="4"/>
        <v>20</v>
      </c>
      <c r="T12" s="7"/>
      <c r="U12" s="7">
        <f t="shared" si="5"/>
        <v>15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>B12+$AB$2+20</f>
        <v>1420</v>
      </c>
      <c r="C13" s="7">
        <v>4</v>
      </c>
      <c r="D13" s="7">
        <v>8</v>
      </c>
      <c r="E13" s="7"/>
      <c r="F13" s="7">
        <f t="shared" si="1"/>
        <v>3</v>
      </c>
      <c r="G13" s="7">
        <f t="shared" si="8"/>
        <v>36.15</v>
      </c>
      <c r="H13" s="7">
        <v>1</v>
      </c>
      <c r="I13" s="7"/>
      <c r="J13" s="7"/>
      <c r="K13" s="7"/>
      <c r="L13" s="7"/>
      <c r="M13" s="7">
        <v>270</v>
      </c>
      <c r="N13" s="7">
        <f>IF(A13&lt;5,$X$1,IF(A13&gt;10,$AA$1,$Z$1))</f>
        <v>1803</v>
      </c>
      <c r="O13" s="7">
        <v>20</v>
      </c>
      <c r="P13" s="7" t="str">
        <f>IF(H13=1,"",INDEX($X$1:$X$3,MATCH(H13,$V$1:$V$3,0)))</f>
        <v/>
      </c>
      <c r="Q13" s="7" t="str">
        <f t="shared" si="3"/>
        <v/>
      </c>
      <c r="R13" s="7"/>
      <c r="S13" s="7">
        <f t="shared" si="4"/>
        <v>20</v>
      </c>
      <c r="T13" s="7"/>
      <c r="U13" s="7">
        <f t="shared" si="5"/>
        <v>15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>B13+$AB$2+20</f>
        <v>1540</v>
      </c>
      <c r="C14" s="7">
        <v>4</v>
      </c>
      <c r="D14" s="7">
        <v>9</v>
      </c>
      <c r="E14" s="7"/>
      <c r="F14" s="7">
        <f t="shared" si="1"/>
        <v>3</v>
      </c>
      <c r="G14" s="7">
        <f t="shared" si="8"/>
        <v>50.475</v>
      </c>
      <c r="H14" s="7">
        <v>1</v>
      </c>
      <c r="I14" s="7"/>
      <c r="J14" s="7"/>
      <c r="K14" s="7"/>
      <c r="L14" s="7"/>
      <c r="M14" s="7">
        <v>320</v>
      </c>
      <c r="N14" s="7">
        <f>IF(A14&lt;5,$X$1,IF(A14&gt;10,$AA$1,$Z$1))</f>
        <v>1803</v>
      </c>
      <c r="O14" s="7">
        <v>20</v>
      </c>
      <c r="P14" s="7" t="str">
        <f>IF(H14=1,"",INDEX($X$1:$X$3,MATCH(H14,$V$1:$V$3,0)))</f>
        <v/>
      </c>
      <c r="Q14" s="7" t="str">
        <f t="shared" si="3"/>
        <v/>
      </c>
      <c r="R14" s="7"/>
      <c r="S14" s="7">
        <f t="shared" si="4"/>
        <v>20</v>
      </c>
      <c r="T14" s="7"/>
      <c r="U14" s="7">
        <f t="shared" si="5"/>
        <v>15</v>
      </c>
      <c r="V14" s="7"/>
      <c r="Y14" s="4"/>
      <c r="AA14" s="7"/>
    </row>
    <row r="15" spans="1:27">
      <c r="A15" s="7">
        <v>14</v>
      </c>
      <c r="B15" s="7">
        <f>B14+$AB$2+20</f>
        <v>1660</v>
      </c>
      <c r="C15" s="7">
        <v>4</v>
      </c>
      <c r="D15" s="7">
        <v>10</v>
      </c>
      <c r="E15" s="7"/>
      <c r="F15" s="7">
        <f t="shared" si="1"/>
        <v>3</v>
      </c>
      <c r="G15" s="7">
        <f>G31*0.2</f>
        <v>64.8</v>
      </c>
      <c r="H15" s="7">
        <v>1</v>
      </c>
      <c r="I15" s="7"/>
      <c r="J15" s="7"/>
      <c r="K15" s="7"/>
      <c r="L15" s="7"/>
      <c r="M15" s="7">
        <v>370</v>
      </c>
      <c r="N15" s="7">
        <f>IF(A15&lt;5,$X$1,IF(A15&gt;10,$AA$1,$Z$1))</f>
        <v>1803</v>
      </c>
      <c r="O15" s="7">
        <v>20</v>
      </c>
      <c r="P15" s="7" t="str">
        <f>IF(H15=1,"",INDEX($X$1:$X$3,MATCH(H15,$V$1:$V$3,0)))</f>
        <v/>
      </c>
      <c r="Q15" s="7" t="str">
        <f t="shared" si="3"/>
        <v/>
      </c>
      <c r="R15" s="7"/>
      <c r="S15" s="7">
        <f t="shared" si="4"/>
        <v>20</v>
      </c>
      <c r="T15" s="7"/>
      <c r="U15" s="7">
        <f t="shared" si="5"/>
        <v>15</v>
      </c>
      <c r="V15" s="7"/>
      <c r="Y15" s="4"/>
      <c r="AA15" s="7"/>
    </row>
    <row r="16" spans="1:27">
      <c r="A16" s="7">
        <v>15</v>
      </c>
      <c r="B16" s="7">
        <f>B15+$AB$2+20</f>
        <v>1780</v>
      </c>
      <c r="C16" s="7">
        <v>4</v>
      </c>
      <c r="D16" s="7">
        <v>11</v>
      </c>
      <c r="E16" s="7"/>
      <c r="F16" s="7">
        <f t="shared" si="1"/>
        <v>3</v>
      </c>
      <c r="G16" s="7">
        <f t="shared" ref="G16:G19" si="9">($G$20-$G$15)/5+G15</f>
        <v>77.76</v>
      </c>
      <c r="H16" s="7">
        <v>2</v>
      </c>
      <c r="I16" s="7"/>
      <c r="J16" s="7"/>
      <c r="K16" s="7"/>
      <c r="L16" s="7"/>
      <c r="M16" s="7">
        <v>420</v>
      </c>
      <c r="N16" s="7">
        <f>IF(A16&lt;5,$X$1,IF(A16&gt;10,$AA$1,$Z$1))</f>
        <v>1803</v>
      </c>
      <c r="O16" s="7">
        <v>20</v>
      </c>
      <c r="P16" s="7">
        <f>IF(H16=1,"",INDEX($X$1:$X$3,MATCH(H16,$V$1:$V$3,0)))</f>
        <v>1805</v>
      </c>
      <c r="Q16" s="7">
        <f t="shared" si="3"/>
        <v>5</v>
      </c>
      <c r="R16" s="7"/>
      <c r="S16" s="7">
        <f t="shared" si="4"/>
        <v>25</v>
      </c>
      <c r="T16" s="7"/>
      <c r="U16" s="7">
        <f t="shared" si="5"/>
        <v>15</v>
      </c>
      <c r="V16" s="7"/>
      <c r="Y16" s="4"/>
      <c r="AA16" s="7"/>
    </row>
    <row r="17" spans="1:27">
      <c r="A17" s="7">
        <v>16</v>
      </c>
      <c r="B17" s="7">
        <f>B16+$AB$2+20</f>
        <v>1900</v>
      </c>
      <c r="C17" s="7">
        <v>4</v>
      </c>
      <c r="D17" s="7">
        <v>12</v>
      </c>
      <c r="E17" s="7"/>
      <c r="F17" s="7">
        <f t="shared" si="1"/>
        <v>3</v>
      </c>
      <c r="G17" s="7">
        <f t="shared" si="9"/>
        <v>90.72</v>
      </c>
      <c r="H17" s="7">
        <v>1</v>
      </c>
      <c r="I17" s="7"/>
      <c r="J17" s="7"/>
      <c r="K17" s="7"/>
      <c r="L17" s="7"/>
      <c r="M17" s="7">
        <v>470</v>
      </c>
      <c r="N17" s="7">
        <f>IF(A17&lt;5,$X$1,IF(A17&gt;10,$AA$1,$Z$1))</f>
        <v>1803</v>
      </c>
      <c r="O17" s="7">
        <v>20</v>
      </c>
      <c r="P17" s="7" t="str">
        <f>IF(H17=1,"",INDEX($X$1:$X$3,MATCH(H17,$V$1:$V$3,0)))</f>
        <v/>
      </c>
      <c r="Q17" s="7" t="str">
        <f t="shared" si="3"/>
        <v/>
      </c>
      <c r="R17" s="7"/>
      <c r="S17" s="7">
        <f t="shared" si="4"/>
        <v>20</v>
      </c>
      <c r="T17" s="7"/>
      <c r="U17" s="7">
        <f t="shared" si="5"/>
        <v>15</v>
      </c>
      <c r="V17" s="7"/>
      <c r="Y17" s="4"/>
      <c r="AA17" s="7"/>
    </row>
    <row r="18" spans="1:27">
      <c r="A18" s="7">
        <v>17</v>
      </c>
      <c r="B18" s="7">
        <f>B17+$AB$2+20</f>
        <v>2020</v>
      </c>
      <c r="C18" s="7">
        <v>4</v>
      </c>
      <c r="D18" s="7">
        <v>13</v>
      </c>
      <c r="E18" s="7"/>
      <c r="F18" s="7">
        <f t="shared" si="1"/>
        <v>3</v>
      </c>
      <c r="G18" s="7">
        <f t="shared" si="9"/>
        <v>103.68</v>
      </c>
      <c r="H18" s="7">
        <v>1</v>
      </c>
      <c r="I18" s="7"/>
      <c r="J18" s="7"/>
      <c r="K18" s="7"/>
      <c r="L18" s="7"/>
      <c r="M18" s="7">
        <v>520</v>
      </c>
      <c r="N18" s="7">
        <f>IF(A18&lt;5,$X$1,IF(A18&gt;10,$AA$1,$Z$1))</f>
        <v>1803</v>
      </c>
      <c r="O18" s="7">
        <v>20</v>
      </c>
      <c r="P18" s="7" t="str">
        <f>IF(H18=1,"",INDEX($X$1:$X$3,MATCH(H18,$V$1:$V$3,0)))</f>
        <v/>
      </c>
      <c r="Q18" s="7" t="str">
        <f t="shared" si="3"/>
        <v/>
      </c>
      <c r="R18" s="7"/>
      <c r="S18" s="7">
        <f t="shared" si="4"/>
        <v>20</v>
      </c>
      <c r="T18" s="7"/>
      <c r="U18" s="7">
        <f t="shared" si="5"/>
        <v>15</v>
      </c>
      <c r="V18" s="7"/>
      <c r="Y18" s="4"/>
      <c r="AA18" s="7"/>
    </row>
    <row r="19" spans="1:27">
      <c r="A19" s="7">
        <v>18</v>
      </c>
      <c r="B19" s="7">
        <f>B18+$AB$2+20</f>
        <v>2140</v>
      </c>
      <c r="C19" s="7">
        <v>4</v>
      </c>
      <c r="D19" s="7">
        <v>14</v>
      </c>
      <c r="E19" s="7"/>
      <c r="F19" s="7">
        <f t="shared" si="1"/>
        <v>3</v>
      </c>
      <c r="G19" s="7">
        <f t="shared" si="9"/>
        <v>116.64</v>
      </c>
      <c r="H19" s="7">
        <v>1</v>
      </c>
      <c r="I19" s="7"/>
      <c r="J19" s="7"/>
      <c r="K19" s="7"/>
      <c r="L19" s="7"/>
      <c r="M19" s="7">
        <v>570</v>
      </c>
      <c r="N19" s="7">
        <f>IF(A19&lt;5,$X$1,IF(A19&gt;10,$AA$1,$Z$1))</f>
        <v>1803</v>
      </c>
      <c r="O19" s="7">
        <v>20</v>
      </c>
      <c r="P19" s="7" t="str">
        <f>IF(H19=1,"",INDEX($X$1:$X$3,MATCH(H19,$V$1:$V$3,0)))</f>
        <v/>
      </c>
      <c r="Q19" s="7" t="str">
        <f t="shared" si="3"/>
        <v/>
      </c>
      <c r="R19" s="7"/>
      <c r="S19" s="7">
        <f t="shared" si="4"/>
        <v>20</v>
      </c>
      <c r="T19" s="7"/>
      <c r="U19" s="7">
        <f t="shared" si="5"/>
        <v>15</v>
      </c>
      <c r="V19" s="7"/>
      <c r="Y19" s="4"/>
      <c r="AA19" s="7"/>
    </row>
    <row r="20" spans="1:27">
      <c r="A20" s="7">
        <v>19</v>
      </c>
      <c r="B20" s="7">
        <f>B19+$AB$2+20</f>
        <v>2260</v>
      </c>
      <c r="C20" s="7">
        <v>4</v>
      </c>
      <c r="D20" s="7">
        <v>15</v>
      </c>
      <c r="E20" s="7"/>
      <c r="F20" s="7">
        <f t="shared" si="1"/>
        <v>3</v>
      </c>
      <c r="G20" s="7">
        <f>G31*0.4</f>
        <v>129.6</v>
      </c>
      <c r="H20" s="7">
        <v>1</v>
      </c>
      <c r="I20" s="7"/>
      <c r="J20" s="7"/>
      <c r="K20" s="7"/>
      <c r="L20" s="7"/>
      <c r="M20" s="7">
        <v>620</v>
      </c>
      <c r="N20" s="7">
        <f>IF(A20&lt;5,$X$1,IF(A20&gt;10,$AA$1,$Z$1))</f>
        <v>1803</v>
      </c>
      <c r="O20" s="7">
        <v>20</v>
      </c>
      <c r="P20" s="7" t="str">
        <f>IF(H20=1,"",INDEX($X$1:$X$3,MATCH(H20,$V$1:$V$3,0)))</f>
        <v/>
      </c>
      <c r="Q20" s="7" t="str">
        <f t="shared" si="3"/>
        <v/>
      </c>
      <c r="R20" s="7"/>
      <c r="S20" s="7">
        <f t="shared" si="4"/>
        <v>20</v>
      </c>
      <c r="T20" s="7"/>
      <c r="U20" s="7">
        <f t="shared" si="5"/>
        <v>15</v>
      </c>
      <c r="V20" s="7"/>
      <c r="Y20" s="4"/>
      <c r="AA20" s="7"/>
    </row>
    <row r="21" spans="1:27">
      <c r="A21" s="7">
        <v>20</v>
      </c>
      <c r="B21" s="7">
        <f>B20+$AB$2+40</f>
        <v>2400</v>
      </c>
      <c r="C21" s="7">
        <v>4</v>
      </c>
      <c r="D21" s="7">
        <v>16</v>
      </c>
      <c r="E21" s="7"/>
      <c r="F21" s="7">
        <f t="shared" si="1"/>
        <v>3</v>
      </c>
      <c r="G21" s="7">
        <f t="shared" ref="G21:G24" si="10">($G$25-$G$20)/5+G20</f>
        <v>142.56</v>
      </c>
      <c r="H21" s="7">
        <v>3</v>
      </c>
      <c r="I21" s="7"/>
      <c r="J21" s="7"/>
      <c r="K21" s="7"/>
      <c r="L21" s="7"/>
      <c r="M21" s="7">
        <v>670</v>
      </c>
      <c r="N21" s="7">
        <f>IF(A21&lt;5,$X$1,IF(A21&gt;10,$AA$1,$Z$1))</f>
        <v>1803</v>
      </c>
      <c r="O21" s="7">
        <v>20</v>
      </c>
      <c r="P21" s="7">
        <f>IF(H21=1,"",INDEX($X$1:$X$3,MATCH(H21,$V$1:$V$3,0)))</f>
        <v>1806</v>
      </c>
      <c r="Q21" s="7">
        <f t="shared" si="3"/>
        <v>1</v>
      </c>
      <c r="R21" s="7"/>
      <c r="S21" s="7">
        <f t="shared" si="4"/>
        <v>21</v>
      </c>
      <c r="T21" s="7"/>
      <c r="U21" s="7">
        <f t="shared" si="5"/>
        <v>15</v>
      </c>
      <c r="V21" s="7"/>
      <c r="Y21" s="4"/>
      <c r="AA21" s="7"/>
    </row>
    <row r="22" spans="1:27">
      <c r="A22" s="7">
        <v>21</v>
      </c>
      <c r="B22" s="7"/>
      <c r="C22" s="7">
        <v>4</v>
      </c>
      <c r="D22" s="7">
        <v>17</v>
      </c>
      <c r="E22" s="7"/>
      <c r="F22" s="7">
        <f t="shared" si="1"/>
        <v>3</v>
      </c>
      <c r="G22" s="7">
        <f t="shared" si="10"/>
        <v>155.52</v>
      </c>
      <c r="H22" s="7">
        <v>1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>
        <v>4</v>
      </c>
      <c r="D23" s="7">
        <v>20</v>
      </c>
      <c r="E23" s="7"/>
      <c r="F23" s="7">
        <f t="shared" si="1"/>
        <v>3</v>
      </c>
      <c r="G23" s="7">
        <f t="shared" si="10"/>
        <v>168.48</v>
      </c>
      <c r="H23" s="7">
        <v>1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>
        <v>4</v>
      </c>
      <c r="D24" s="7">
        <v>21</v>
      </c>
      <c r="E24" s="7"/>
      <c r="F24" s="7">
        <f t="shared" si="1"/>
        <v>3</v>
      </c>
      <c r="G24" s="7">
        <f t="shared" si="10"/>
        <v>181.44</v>
      </c>
      <c r="H24" s="7">
        <v>1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>
        <v>4</v>
      </c>
      <c r="D25" s="7">
        <v>22</v>
      </c>
      <c r="E25" s="7"/>
      <c r="F25" s="7">
        <f t="shared" si="1"/>
        <v>3</v>
      </c>
      <c r="G25" s="7">
        <f>G31*0.6</f>
        <v>194.4</v>
      </c>
      <c r="H25" s="7">
        <v>1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>
        <v>4</v>
      </c>
      <c r="D26" s="7">
        <v>23</v>
      </c>
      <c r="E26" s="7"/>
      <c r="F26" s="7">
        <f t="shared" si="1"/>
        <v>3</v>
      </c>
      <c r="G26" s="7">
        <f t="shared" ref="G26:G29" si="11">($G$30-$G$25)/5+G25</f>
        <v>210.6</v>
      </c>
      <c r="H26" s="7">
        <v>2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>
        <v>4</v>
      </c>
      <c r="D27" s="7">
        <v>24</v>
      </c>
      <c r="E27" s="7"/>
      <c r="F27" s="7">
        <f t="shared" si="1"/>
        <v>3</v>
      </c>
      <c r="G27" s="7">
        <f t="shared" si="11"/>
        <v>226.8</v>
      </c>
      <c r="H27" s="7">
        <v>1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>
        <v>4</v>
      </c>
      <c r="D28" s="7">
        <v>25</v>
      </c>
      <c r="E28" s="7"/>
      <c r="F28" s="7">
        <f t="shared" si="1"/>
        <v>3</v>
      </c>
      <c r="G28" s="7">
        <f t="shared" si="11"/>
        <v>243</v>
      </c>
      <c r="H28" s="7">
        <v>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>
        <v>4</v>
      </c>
      <c r="D29" s="7">
        <v>26</v>
      </c>
      <c r="E29" s="7"/>
      <c r="F29" s="7">
        <f t="shared" si="1"/>
        <v>3</v>
      </c>
      <c r="G29" s="7">
        <f t="shared" si="11"/>
        <v>259.2</v>
      </c>
      <c r="H29" s="7">
        <v>1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>
        <v>4</v>
      </c>
      <c r="D30" s="7">
        <v>27</v>
      </c>
      <c r="E30" s="7"/>
      <c r="F30" s="7">
        <f t="shared" si="1"/>
        <v>3</v>
      </c>
      <c r="G30" s="7">
        <f>G31*0.85</f>
        <v>275.4</v>
      </c>
      <c r="H30" s="7">
        <v>1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>
        <v>4</v>
      </c>
      <c r="D31" s="7">
        <v>28</v>
      </c>
      <c r="E31" s="7"/>
      <c r="F31" s="7">
        <f t="shared" si="1"/>
        <v>3</v>
      </c>
      <c r="G31" s="7">
        <v>324</v>
      </c>
      <c r="H31" s="7">
        <v>3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>
        <f t="shared" si="1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300</v>
      </c>
      <c r="V32" s="7"/>
      <c r="Y32" s="4"/>
      <c r="AA32" s="7"/>
    </row>
    <row r="33" spans="1:27">
      <c r="A33" s="7"/>
      <c r="B33" s="7"/>
      <c r="C33" s="7"/>
      <c r="D33" s="7"/>
      <c r="E33" s="7"/>
      <c r="F33" s="7">
        <f t="shared" si="1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/>
      </c>
      <c r="J40" s="7" t="str">
        <f t="shared" ref="J40:J69" si="13">IF(I40="","",_xlfn.TEXTJOIN(",",TRUE,I40,H40))</f>
        <v/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/>
      </c>
      <c r="N40" s="7" t="str">
        <f t="shared" si="12"/>
        <v>1801,15</v>
      </c>
      <c r="O40" s="7" t="str">
        <f t="shared" ref="O40:O69" si="16">IF(N40="","",N40&amp;","&amp;H40)</f>
        <v>1801,15,1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>_xlfn.TEXTJOIN(";",TRUE,Q40,O40)</f>
        <v>1801,15,1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19">IF(I3="","",_xlfn.TEXTJOIN(",",TRUE,I3:J3))</f>
        <v/>
      </c>
      <c r="J41" s="7" t="str">
        <f t="shared" si="13"/>
        <v/>
      </c>
      <c r="K41" s="7" t="str">
        <f t="shared" si="19"/>
        <v/>
      </c>
      <c r="L41" s="7" t="str">
        <f t="shared" si="14"/>
        <v/>
      </c>
      <c r="M41" s="7" t="str">
        <f t="shared" si="15"/>
        <v/>
      </c>
      <c r="N41" s="7" t="str">
        <f t="shared" si="19"/>
        <v>1801,15</v>
      </c>
      <c r="O41" s="7" t="str">
        <f t="shared" si="16"/>
        <v>1801,15,2</v>
      </c>
      <c r="P41" s="7" t="str">
        <f t="shared" si="17"/>
        <v/>
      </c>
      <c r="Q41" s="7" t="str">
        <f t="shared" si="18"/>
        <v/>
      </c>
      <c r="R41" s="7" t="str">
        <f t="shared" ref="R41:R69" si="20">_xlfn.TEXTJOIN(";",TRUE,O41,Q41)</f>
        <v>1801,15,2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/>
      </c>
      <c r="J42" s="7" t="str">
        <f t="shared" si="13"/>
        <v/>
      </c>
      <c r="K42" s="7" t="str">
        <f t="shared" si="21"/>
        <v/>
      </c>
      <c r="L42" s="7" t="str">
        <f t="shared" si="14"/>
        <v/>
      </c>
      <c r="M42" s="7" t="str">
        <f t="shared" si="15"/>
        <v/>
      </c>
      <c r="N42" s="7" t="str">
        <f t="shared" si="21"/>
        <v>1801,15</v>
      </c>
      <c r="O42" s="7" t="str">
        <f t="shared" si="16"/>
        <v>1801,15,3</v>
      </c>
      <c r="P42" s="7" t="str">
        <f t="shared" si="17"/>
        <v/>
      </c>
      <c r="Q42" s="7" t="str">
        <f t="shared" si="18"/>
        <v/>
      </c>
      <c r="R42" s="7" t="str">
        <f t="shared" si="20"/>
        <v>1801,15,3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/>
      </c>
      <c r="J43" s="7" t="str">
        <f t="shared" si="13"/>
        <v/>
      </c>
      <c r="K43" s="7" t="str">
        <f t="shared" si="22"/>
        <v/>
      </c>
      <c r="L43" s="7" t="str">
        <f t="shared" si="14"/>
        <v/>
      </c>
      <c r="M43" s="7" t="str">
        <f t="shared" si="15"/>
        <v/>
      </c>
      <c r="N43" s="7" t="str">
        <f t="shared" si="22"/>
        <v>1801,15</v>
      </c>
      <c r="O43" s="7" t="str">
        <f t="shared" si="16"/>
        <v>1801,15,4</v>
      </c>
      <c r="P43" s="7" t="str">
        <f t="shared" si="17"/>
        <v/>
      </c>
      <c r="Q43" s="7" t="str">
        <f t="shared" si="18"/>
        <v/>
      </c>
      <c r="R43" s="7" t="str">
        <f t="shared" si="20"/>
        <v>1801,15,4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/>
      </c>
      <c r="J44" s="7" t="str">
        <f t="shared" si="13"/>
        <v/>
      </c>
      <c r="K44" s="7" t="str">
        <f t="shared" si="23"/>
        <v/>
      </c>
      <c r="L44" s="7" t="str">
        <f t="shared" si="14"/>
        <v/>
      </c>
      <c r="M44" s="7" t="str">
        <f t="shared" si="15"/>
        <v/>
      </c>
      <c r="N44" s="7" t="str">
        <f t="shared" si="23"/>
        <v>1802,15</v>
      </c>
      <c r="O44" s="7" t="str">
        <f t="shared" si="16"/>
        <v>1802,15,5</v>
      </c>
      <c r="P44" s="7" t="str">
        <f t="shared" si="17"/>
        <v>1805,5</v>
      </c>
      <c r="Q44" s="7" t="str">
        <f t="shared" si="18"/>
        <v>1805,5,5</v>
      </c>
      <c r="R44" s="7" t="str">
        <f t="shared" si="20"/>
        <v>1802,15,5;1805,5,5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/>
      </c>
      <c r="J45" s="7" t="str">
        <f t="shared" si="13"/>
        <v/>
      </c>
      <c r="K45" s="7" t="str">
        <f t="shared" si="24"/>
        <v/>
      </c>
      <c r="L45" s="7" t="str">
        <f t="shared" si="14"/>
        <v/>
      </c>
      <c r="M45" s="7" t="str">
        <f t="shared" si="15"/>
        <v/>
      </c>
      <c r="N45" s="7" t="str">
        <f t="shared" si="24"/>
        <v>1802,15</v>
      </c>
      <c r="O45" s="7" t="str">
        <f t="shared" si="16"/>
        <v>1802,15,6</v>
      </c>
      <c r="P45" s="7" t="str">
        <f t="shared" si="17"/>
        <v/>
      </c>
      <c r="Q45" s="7" t="str">
        <f t="shared" si="18"/>
        <v/>
      </c>
      <c r="R45" s="7" t="str">
        <f t="shared" si="20"/>
        <v>1802,15,6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/>
      </c>
      <c r="J46" s="7" t="str">
        <f t="shared" si="13"/>
        <v/>
      </c>
      <c r="K46" s="7" t="str">
        <f t="shared" si="25"/>
        <v/>
      </c>
      <c r="L46" s="7" t="str">
        <f t="shared" si="14"/>
        <v/>
      </c>
      <c r="M46" s="7" t="str">
        <f t="shared" si="15"/>
        <v/>
      </c>
      <c r="N46" s="7" t="str">
        <f t="shared" si="25"/>
        <v>1802,15</v>
      </c>
      <c r="O46" s="7" t="str">
        <f t="shared" si="16"/>
        <v>1802,15,7</v>
      </c>
      <c r="P46" s="7" t="str">
        <f t="shared" si="17"/>
        <v/>
      </c>
      <c r="Q46" s="7" t="str">
        <f t="shared" si="18"/>
        <v/>
      </c>
      <c r="R46" s="7" t="str">
        <f t="shared" si="20"/>
        <v>1802,15,7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/>
      </c>
      <c r="J47" s="7" t="str">
        <f t="shared" si="13"/>
        <v/>
      </c>
      <c r="K47" s="7" t="str">
        <f t="shared" si="26"/>
        <v/>
      </c>
      <c r="L47" s="7" t="str">
        <f t="shared" si="14"/>
        <v/>
      </c>
      <c r="M47" s="7" t="str">
        <f t="shared" si="15"/>
        <v/>
      </c>
      <c r="N47" s="7" t="str">
        <f t="shared" si="26"/>
        <v>1802,15</v>
      </c>
      <c r="O47" s="7" t="str">
        <f t="shared" si="16"/>
        <v>1802,15,8</v>
      </c>
      <c r="P47" s="7" t="str">
        <f t="shared" si="17"/>
        <v/>
      </c>
      <c r="Q47" s="7" t="str">
        <f t="shared" si="18"/>
        <v/>
      </c>
      <c r="R47" s="7" t="str">
        <f t="shared" si="20"/>
        <v>1802,15,8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/>
      </c>
      <c r="J48" s="7" t="str">
        <f t="shared" si="13"/>
        <v/>
      </c>
      <c r="K48" s="7" t="str">
        <f t="shared" si="27"/>
        <v/>
      </c>
      <c r="L48" s="7" t="str">
        <f t="shared" si="14"/>
        <v/>
      </c>
      <c r="M48" s="7" t="str">
        <f t="shared" si="15"/>
        <v/>
      </c>
      <c r="N48" s="7" t="str">
        <f t="shared" si="27"/>
        <v>1802,15</v>
      </c>
      <c r="O48" s="7" t="str">
        <f t="shared" si="16"/>
        <v>1802,15,9</v>
      </c>
      <c r="P48" s="7" t="str">
        <f t="shared" si="17"/>
        <v/>
      </c>
      <c r="Q48" s="7" t="str">
        <f t="shared" si="18"/>
        <v/>
      </c>
      <c r="R48" s="7" t="str">
        <f t="shared" si="20"/>
        <v>1802,15,9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/>
      </c>
      <c r="J49" s="7" t="str">
        <f t="shared" si="13"/>
        <v/>
      </c>
      <c r="K49" s="7" t="str">
        <f t="shared" si="28"/>
        <v/>
      </c>
      <c r="L49" s="7" t="str">
        <f t="shared" si="14"/>
        <v/>
      </c>
      <c r="M49" s="7" t="str">
        <f t="shared" si="15"/>
        <v/>
      </c>
      <c r="N49" s="7" t="str">
        <f t="shared" si="28"/>
        <v>1802,15</v>
      </c>
      <c r="O49" s="7" t="str">
        <f t="shared" si="16"/>
        <v>1802,15,10</v>
      </c>
      <c r="P49" s="7" t="str">
        <f t="shared" si="17"/>
        <v>1806,1</v>
      </c>
      <c r="Q49" s="7" t="str">
        <f t="shared" si="18"/>
        <v>1806,1,10</v>
      </c>
      <c r="R49" s="7" t="str">
        <f t="shared" si="20"/>
        <v>1802,15,10;1806,1,10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/>
      </c>
      <c r="J50" s="7" t="str">
        <f t="shared" si="13"/>
        <v/>
      </c>
      <c r="K50" s="7" t="str">
        <f t="shared" si="29"/>
        <v/>
      </c>
      <c r="L50" s="7" t="str">
        <f t="shared" si="14"/>
        <v/>
      </c>
      <c r="M50" s="7" t="str">
        <f t="shared" si="15"/>
        <v/>
      </c>
      <c r="N50" s="7" t="str">
        <f t="shared" si="29"/>
        <v>1803,20</v>
      </c>
      <c r="O50" s="7" t="str">
        <f t="shared" si="16"/>
        <v>1803,20,11</v>
      </c>
      <c r="P50" s="7" t="str">
        <f t="shared" si="17"/>
        <v/>
      </c>
      <c r="Q50" s="7" t="str">
        <f t="shared" si="18"/>
        <v/>
      </c>
      <c r="R50" s="7" t="str">
        <f t="shared" si="20"/>
        <v>1803,20,11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/>
      </c>
      <c r="J51" s="7" t="str">
        <f t="shared" si="13"/>
        <v/>
      </c>
      <c r="K51" s="7" t="str">
        <f t="shared" si="30"/>
        <v/>
      </c>
      <c r="L51" s="7" t="str">
        <f t="shared" si="14"/>
        <v/>
      </c>
      <c r="M51" s="7" t="str">
        <f t="shared" si="15"/>
        <v/>
      </c>
      <c r="N51" s="7" t="str">
        <f t="shared" si="30"/>
        <v>1803,20</v>
      </c>
      <c r="O51" s="7" t="str">
        <f t="shared" si="16"/>
        <v>1803,20,12</v>
      </c>
      <c r="P51" s="7" t="str">
        <f t="shared" si="17"/>
        <v/>
      </c>
      <c r="Q51" s="7" t="str">
        <f t="shared" si="18"/>
        <v/>
      </c>
      <c r="R51" s="7" t="str">
        <f t="shared" si="20"/>
        <v>1803,20,12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>1803,20</v>
      </c>
      <c r="O52" s="7" t="str">
        <f t="shared" si="16"/>
        <v>1803,20,13</v>
      </c>
      <c r="P52" s="7" t="str">
        <f t="shared" si="17"/>
        <v/>
      </c>
      <c r="Q52" s="7" t="str">
        <f t="shared" si="18"/>
        <v/>
      </c>
      <c r="R52" s="7" t="str">
        <f t="shared" si="20"/>
        <v>1803,20,13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>1803,20</v>
      </c>
      <c r="O53" s="7" t="str">
        <f t="shared" si="16"/>
        <v>1803,20,14</v>
      </c>
      <c r="P53" s="7" t="str">
        <f t="shared" si="17"/>
        <v/>
      </c>
      <c r="Q53" s="7" t="str">
        <f t="shared" si="18"/>
        <v/>
      </c>
      <c r="R53" s="7" t="str">
        <f t="shared" si="20"/>
        <v>1803,20,14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>1803,20</v>
      </c>
      <c r="O54" s="7" t="str">
        <f t="shared" si="16"/>
        <v>1803,20,15</v>
      </c>
      <c r="P54" s="7" t="str">
        <f t="shared" si="17"/>
        <v>1805,5</v>
      </c>
      <c r="Q54" s="7" t="str">
        <f t="shared" si="18"/>
        <v>1805,5,15</v>
      </c>
      <c r="R54" s="7" t="str">
        <f t="shared" si="20"/>
        <v>1803,20,15;1805,5,15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>1803,20</v>
      </c>
      <c r="O55" s="7" t="str">
        <f t="shared" si="16"/>
        <v>1803,20,16</v>
      </c>
      <c r="P55" s="7" t="str">
        <f t="shared" si="17"/>
        <v/>
      </c>
      <c r="Q55" s="7" t="str">
        <f t="shared" si="18"/>
        <v/>
      </c>
      <c r="R55" s="7" t="str">
        <f t="shared" si="20"/>
        <v>1803,20,16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>1803,20</v>
      </c>
      <c r="O56" s="7" t="str">
        <f t="shared" si="16"/>
        <v>1803,20,17</v>
      </c>
      <c r="P56" s="7" t="str">
        <f t="shared" si="17"/>
        <v/>
      </c>
      <c r="Q56" s="7" t="str">
        <f t="shared" si="18"/>
        <v/>
      </c>
      <c r="R56" s="7" t="str">
        <f t="shared" si="20"/>
        <v>1803,20,17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>1803,20</v>
      </c>
      <c r="O57" s="7" t="str">
        <f t="shared" si="16"/>
        <v>1803,20,18</v>
      </c>
      <c r="P57" s="7" t="str">
        <f t="shared" si="17"/>
        <v/>
      </c>
      <c r="Q57" s="7" t="str">
        <f t="shared" si="18"/>
        <v/>
      </c>
      <c r="R57" s="7" t="str">
        <f t="shared" si="20"/>
        <v>1803,20,18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>1803,20</v>
      </c>
      <c r="O58" s="7" t="str">
        <f t="shared" si="16"/>
        <v>1803,20,19</v>
      </c>
      <c r="P58" s="7" t="str">
        <f t="shared" si="17"/>
        <v/>
      </c>
      <c r="Q58" s="7" t="str">
        <f t="shared" si="18"/>
        <v/>
      </c>
      <c r="R58" s="7" t="str">
        <f t="shared" si="20"/>
        <v>1803,20,19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>1803,20</v>
      </c>
      <c r="O59" s="7" t="str">
        <f t="shared" si="16"/>
        <v>1803,20,20</v>
      </c>
      <c r="P59" s="7" t="str">
        <f t="shared" si="17"/>
        <v>1806,1</v>
      </c>
      <c r="Q59" s="7" t="str">
        <f t="shared" si="18"/>
        <v>1806,1,20</v>
      </c>
      <c r="R59" s="7" t="str">
        <f t="shared" si="20"/>
        <v>1803,20,20;1806,1,20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20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20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20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20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20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20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20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20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20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20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/>
      </c>
      <c r="N71" s="7"/>
      <c r="O71" s="7"/>
      <c r="P71" s="7"/>
      <c r="Q71" s="7"/>
      <c r="R71" s="15" t="str">
        <f>_xlfn.TEXTJOIN("|",TRUE,R40:R69)</f>
        <v>1801,15,1|1801,15,2|1801,15,3|1801,15,4|1802,15,5;1805,5,5|1802,15,6|1802,15,7|1802,15,8|1802,15,9|1802,15,10;1806,1,10|1803,20,11|1803,20,12|1803,20,13|1803,20,14|1803,20,15;1805,5,15|1803,20,16|1803,20,17|1803,20,18|1803,20,19|1803,20,20;1806,1,20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3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  <c r="AJ75" s="4"/>
      <c r="AK75" s="4"/>
    </row>
    <row r="76" spans="1:3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  <c r="AJ76" s="4"/>
      <c r="AK76" s="4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7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617</v>
      </c>
      <c r="M78" s="7" t="s">
        <v>621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  <c r="AH78" t="s">
        <v>620</v>
      </c>
      <c r="AI78" s="4" t="s">
        <v>634</v>
      </c>
      <c r="AJ78" s="4" t="s">
        <v>613</v>
      </c>
      <c r="AK78" s="4"/>
    </row>
    <row r="79" customFormat="1" spans="1:38">
      <c r="A79" s="4">
        <v>1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>
        <v>20</v>
      </c>
      <c r="M79" s="7">
        <f t="shared" ref="M79:M84" si="49">INDEX($A$113:$A$125,MATCH(L79,$B$113:$B$125,1))</f>
        <v>1</v>
      </c>
      <c r="N79" s="7">
        <v>1</v>
      </c>
      <c r="O79" s="4">
        <f>W79*(1-(N79-1)/4)*1</f>
        <v>4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>SUM(P79:T79)+O79*0.6</f>
        <v>2.4</v>
      </c>
      <c r="V79" s="4">
        <v>1</v>
      </c>
      <c r="W79" s="7">
        <f t="shared" ref="W79:W98" si="50">C2</f>
        <v>4</v>
      </c>
      <c r="X79" s="4">
        <f t="shared" ref="X79:X108" si="51">(O79*W79)^V79</f>
        <v>16</v>
      </c>
      <c r="Y79" s="4">
        <f t="shared" ref="Y79:Y108" si="52">ROUND(X79*$S$77,0)</f>
        <v>0</v>
      </c>
      <c r="Z79" s="7">
        <v>1</v>
      </c>
      <c r="AA79" s="7">
        <v>15</v>
      </c>
      <c r="AB79" s="7">
        <v>25</v>
      </c>
      <c r="AC79" s="7">
        <v>10</v>
      </c>
      <c r="AD79" s="7">
        <f t="shared" ref="AD79:AD108" si="53">$R$77*U79*(AB79+AC79)</f>
        <v>2100</v>
      </c>
      <c r="AE79" s="4">
        <f t="shared" ref="AE79:AE108" si="54">ROUND(AD79/AA79*V79,0)</f>
        <v>140</v>
      </c>
      <c r="AF79" s="4">
        <f t="shared" ref="AF79:AF108" si="55">ROUND(AD79/AA79*V79*AG79,0)</f>
        <v>84</v>
      </c>
      <c r="AG79" s="4">
        <v>0.6</v>
      </c>
      <c r="AH79" s="4">
        <f t="shared" ref="AH79:AH108" si="56">AF79</f>
        <v>84</v>
      </c>
      <c r="AI79" s="4">
        <f>怪物难度系数!R4/怪物难度系数!E4</f>
        <v>1</v>
      </c>
      <c r="AJ79" s="4">
        <f>ROUND(AH79*AI79,0)</f>
        <v>84</v>
      </c>
      <c r="AK79" s="4"/>
      <c r="AL79" s="7"/>
    </row>
    <row r="80" customFormat="1" spans="1:38">
      <c r="A80" s="4">
        <v>2</v>
      </c>
      <c r="B80" s="7">
        <v>1</v>
      </c>
      <c r="C80" s="7"/>
      <c r="D80" s="7"/>
      <c r="E80" s="7"/>
      <c r="F80" s="7"/>
      <c r="G80" s="7"/>
      <c r="H80" s="4">
        <v>1</v>
      </c>
      <c r="I80" s="4"/>
      <c r="J80" s="7"/>
      <c r="K80" s="7"/>
      <c r="L80" s="7">
        <v>40</v>
      </c>
      <c r="M80" s="7">
        <f t="shared" si="49"/>
        <v>2</v>
      </c>
      <c r="N80" s="7">
        <v>2</v>
      </c>
      <c r="O80" s="4">
        <f>W80*(1-(N80-1)/4)*(1+$H$80)</f>
        <v>6</v>
      </c>
      <c r="P80" s="7">
        <v>1</v>
      </c>
      <c r="Q80" s="7">
        <v>0</v>
      </c>
      <c r="R80" s="7">
        <v>0</v>
      </c>
      <c r="S80" s="7">
        <v>0</v>
      </c>
      <c r="T80" s="7">
        <v>0</v>
      </c>
      <c r="U80" s="7">
        <f t="shared" ref="U80:U108" si="57">SUM(P80:T80)+O80*0.6</f>
        <v>4.6</v>
      </c>
      <c r="V80" s="4">
        <v>1</v>
      </c>
      <c r="W80" s="7">
        <f t="shared" si="50"/>
        <v>4</v>
      </c>
      <c r="X80" s="4">
        <f t="shared" si="51"/>
        <v>24</v>
      </c>
      <c r="Y80" s="4">
        <f t="shared" si="52"/>
        <v>0</v>
      </c>
      <c r="Z80" s="7">
        <v>1</v>
      </c>
      <c r="AA80" s="7">
        <v>15</v>
      </c>
      <c r="AB80" s="7">
        <v>25</v>
      </c>
      <c r="AC80" s="7">
        <v>10</v>
      </c>
      <c r="AD80" s="7">
        <f t="shared" si="53"/>
        <v>4025</v>
      </c>
      <c r="AE80" s="4">
        <f t="shared" si="54"/>
        <v>268</v>
      </c>
      <c r="AF80" s="4">
        <f t="shared" si="55"/>
        <v>161</v>
      </c>
      <c r="AG80" s="4">
        <v>0.6</v>
      </c>
      <c r="AH80" s="4">
        <f t="shared" si="56"/>
        <v>161</v>
      </c>
      <c r="AI80" s="4">
        <f>怪物难度系数!R5/怪物难度系数!E5</f>
        <v>1</v>
      </c>
      <c r="AJ80" s="4">
        <f t="shared" ref="AJ80:AJ108" si="58">ROUND(AH80*AI80,0)</f>
        <v>161</v>
      </c>
      <c r="AK80" s="4"/>
      <c r="AL80" s="7"/>
    </row>
    <row r="81" customFormat="1" spans="1:38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60</v>
      </c>
      <c r="M81" s="7">
        <f t="shared" si="49"/>
        <v>3</v>
      </c>
      <c r="N81" s="7">
        <v>2</v>
      </c>
      <c r="O81" s="4">
        <f t="shared" ref="O81:O87" si="59">W81*(1-(N81-1)/4)*(1+$H$80)</f>
        <v>6</v>
      </c>
      <c r="P81" s="7">
        <f>1+$I$82</f>
        <v>1.5</v>
      </c>
      <c r="Q81" s="7">
        <v>0</v>
      </c>
      <c r="R81" s="7">
        <v>0</v>
      </c>
      <c r="S81" s="7">
        <v>0</v>
      </c>
      <c r="T81" s="7">
        <v>0</v>
      </c>
      <c r="U81" s="7">
        <f t="shared" si="57"/>
        <v>5.1</v>
      </c>
      <c r="V81" s="4">
        <v>1</v>
      </c>
      <c r="W81" s="7">
        <f t="shared" si="50"/>
        <v>4</v>
      </c>
      <c r="X81" s="4">
        <f t="shared" si="51"/>
        <v>24</v>
      </c>
      <c r="Y81" s="4">
        <f t="shared" si="52"/>
        <v>0</v>
      </c>
      <c r="Z81" s="7">
        <v>1</v>
      </c>
      <c r="AA81" s="7">
        <v>15</v>
      </c>
      <c r="AB81" s="7">
        <v>25</v>
      </c>
      <c r="AC81" s="7">
        <v>10</v>
      </c>
      <c r="AD81" s="7">
        <f t="shared" si="53"/>
        <v>4462.5</v>
      </c>
      <c r="AE81" s="4">
        <f t="shared" si="54"/>
        <v>298</v>
      </c>
      <c r="AF81" s="4">
        <f t="shared" si="55"/>
        <v>179</v>
      </c>
      <c r="AG81" s="4">
        <v>0.6</v>
      </c>
      <c r="AH81" s="4">
        <f t="shared" si="56"/>
        <v>179</v>
      </c>
      <c r="AI81" s="4">
        <f>怪物难度系数!R6/怪物难度系数!E6</f>
        <v>1</v>
      </c>
      <c r="AJ81" s="4">
        <f t="shared" si="58"/>
        <v>179</v>
      </c>
      <c r="AK81" s="4"/>
      <c r="AL81" s="7"/>
    </row>
    <row r="82" customFormat="1" spans="1:38">
      <c r="A82" s="4">
        <v>4</v>
      </c>
      <c r="B82" s="7"/>
      <c r="C82" s="7">
        <v>1</v>
      </c>
      <c r="D82" s="7"/>
      <c r="E82" s="7"/>
      <c r="F82" s="7"/>
      <c r="G82" s="7"/>
      <c r="H82" s="4"/>
      <c r="I82" s="4">
        <v>0.5</v>
      </c>
      <c r="J82" s="7"/>
      <c r="K82" s="7"/>
      <c r="L82" s="7">
        <v>80</v>
      </c>
      <c r="M82" s="7">
        <f t="shared" si="49"/>
        <v>4</v>
      </c>
      <c r="N82" s="7">
        <v>3</v>
      </c>
      <c r="O82" s="4">
        <f t="shared" si="59"/>
        <v>4</v>
      </c>
      <c r="P82" s="7">
        <f t="shared" ref="P82:P89" si="60">1+$I$82</f>
        <v>1.5</v>
      </c>
      <c r="Q82" s="7">
        <v>1</v>
      </c>
      <c r="R82" s="7">
        <v>0</v>
      </c>
      <c r="S82" s="7">
        <v>0</v>
      </c>
      <c r="T82" s="7">
        <v>0</v>
      </c>
      <c r="U82" s="7">
        <f t="shared" si="57"/>
        <v>4.9</v>
      </c>
      <c r="V82" s="4">
        <v>1</v>
      </c>
      <c r="W82" s="7">
        <f t="shared" si="50"/>
        <v>4</v>
      </c>
      <c r="X82" s="4">
        <f t="shared" si="51"/>
        <v>16</v>
      </c>
      <c r="Y82" s="4">
        <f t="shared" si="52"/>
        <v>0</v>
      </c>
      <c r="Z82" s="7">
        <v>1</v>
      </c>
      <c r="AA82" s="7">
        <v>15</v>
      </c>
      <c r="AB82" s="7">
        <v>25</v>
      </c>
      <c r="AC82" s="7">
        <v>10</v>
      </c>
      <c r="AD82" s="7">
        <f t="shared" si="53"/>
        <v>4287.5</v>
      </c>
      <c r="AE82" s="4">
        <f t="shared" si="54"/>
        <v>286</v>
      </c>
      <c r="AF82" s="4">
        <f t="shared" si="55"/>
        <v>186</v>
      </c>
      <c r="AG82" s="4">
        <v>0.65</v>
      </c>
      <c r="AH82" s="4">
        <f t="shared" si="56"/>
        <v>186</v>
      </c>
      <c r="AI82" s="4">
        <f>怪物难度系数!R7/怪物难度系数!E7</f>
        <v>1</v>
      </c>
      <c r="AJ82" s="4">
        <f t="shared" si="58"/>
        <v>186</v>
      </c>
      <c r="AK82" s="4"/>
      <c r="AL82" s="7"/>
    </row>
    <row r="83" customFormat="1" spans="1:38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100</v>
      </c>
      <c r="M83" s="7">
        <f t="shared" si="49"/>
        <v>5</v>
      </c>
      <c r="N83" s="7">
        <v>3</v>
      </c>
      <c r="O83" s="4">
        <f t="shared" si="59"/>
        <v>4</v>
      </c>
      <c r="P83" s="7">
        <f t="shared" si="60"/>
        <v>1.5</v>
      </c>
      <c r="Q83" s="7">
        <v>1</v>
      </c>
      <c r="R83" s="7">
        <v>0</v>
      </c>
      <c r="S83" s="7">
        <v>0</v>
      </c>
      <c r="T83" s="7">
        <v>0</v>
      </c>
      <c r="U83" s="7">
        <f t="shared" si="57"/>
        <v>4.9</v>
      </c>
      <c r="V83" s="4">
        <v>1</v>
      </c>
      <c r="W83" s="7">
        <f t="shared" si="50"/>
        <v>4</v>
      </c>
      <c r="X83" s="4">
        <f t="shared" si="51"/>
        <v>16</v>
      </c>
      <c r="Y83" s="4">
        <f t="shared" si="52"/>
        <v>0</v>
      </c>
      <c r="Z83" s="7">
        <v>1</v>
      </c>
      <c r="AA83" s="7">
        <v>15</v>
      </c>
      <c r="AB83" s="7">
        <v>25</v>
      </c>
      <c r="AC83" s="7">
        <v>10</v>
      </c>
      <c r="AD83" s="7">
        <f t="shared" si="53"/>
        <v>4287.5</v>
      </c>
      <c r="AE83" s="4">
        <f t="shared" si="54"/>
        <v>286</v>
      </c>
      <c r="AF83" s="4">
        <f t="shared" si="55"/>
        <v>200</v>
      </c>
      <c r="AG83" s="4">
        <v>0.7</v>
      </c>
      <c r="AH83" s="4">
        <f t="shared" si="56"/>
        <v>200</v>
      </c>
      <c r="AI83" s="4">
        <f>怪物难度系数!R8/怪物难度系数!E8</f>
        <v>2.49561403508772</v>
      </c>
      <c r="AJ83" s="4">
        <f t="shared" si="58"/>
        <v>499</v>
      </c>
      <c r="AK83" s="4"/>
      <c r="AL83" s="7"/>
    </row>
    <row r="84" customFormat="1" spans="1:38">
      <c r="A84" s="4">
        <v>6</v>
      </c>
      <c r="B84" s="7"/>
      <c r="C84" s="7"/>
      <c r="D84" s="7">
        <v>1</v>
      </c>
      <c r="E84" s="7"/>
      <c r="F84" s="7"/>
      <c r="G84" s="7"/>
      <c r="H84" s="4"/>
      <c r="I84" s="4"/>
      <c r="J84" s="7">
        <v>1</v>
      </c>
      <c r="K84" s="7"/>
      <c r="L84" s="7">
        <v>120</v>
      </c>
      <c r="M84" s="7">
        <f t="shared" si="49"/>
        <v>5</v>
      </c>
      <c r="N84" s="7">
        <v>4</v>
      </c>
      <c r="O84" s="4">
        <f t="shared" si="59"/>
        <v>2</v>
      </c>
      <c r="P84" s="7">
        <f t="shared" si="60"/>
        <v>1.5</v>
      </c>
      <c r="Q84" s="7">
        <f>1+$J$84</f>
        <v>2</v>
      </c>
      <c r="R84" s="7">
        <v>1</v>
      </c>
      <c r="S84" s="7">
        <v>0</v>
      </c>
      <c r="T84" s="7">
        <v>0</v>
      </c>
      <c r="U84" s="7">
        <f t="shared" si="57"/>
        <v>5.7</v>
      </c>
      <c r="V84" s="4">
        <v>1</v>
      </c>
      <c r="W84" s="7">
        <f t="shared" si="50"/>
        <v>4</v>
      </c>
      <c r="X84" s="4">
        <f t="shared" si="51"/>
        <v>8</v>
      </c>
      <c r="Y84" s="4">
        <f t="shared" si="52"/>
        <v>0</v>
      </c>
      <c r="Z84" s="7">
        <v>1</v>
      </c>
      <c r="AA84" s="7">
        <v>15</v>
      </c>
      <c r="AB84" s="7">
        <v>25</v>
      </c>
      <c r="AC84" s="7">
        <v>10</v>
      </c>
      <c r="AD84" s="7">
        <f t="shared" si="53"/>
        <v>4987.5</v>
      </c>
      <c r="AE84" s="4">
        <f t="shared" si="54"/>
        <v>333</v>
      </c>
      <c r="AF84" s="4">
        <f t="shared" si="55"/>
        <v>249</v>
      </c>
      <c r="AG84" s="4">
        <v>0.75</v>
      </c>
      <c r="AH84" s="4">
        <f t="shared" si="56"/>
        <v>249</v>
      </c>
      <c r="AI84" s="4">
        <f>怪物难度系数!R9/怪物难度系数!E9</f>
        <v>2.48765432098765</v>
      </c>
      <c r="AJ84" s="4">
        <f t="shared" si="58"/>
        <v>619</v>
      </c>
      <c r="AK84" s="4"/>
      <c r="AL84" s="7"/>
    </row>
    <row r="85" customFormat="1" spans="1:38">
      <c r="A85" s="9">
        <v>7</v>
      </c>
      <c r="B85" s="10"/>
      <c r="C85" s="10"/>
      <c r="D85" s="10"/>
      <c r="E85" s="10"/>
      <c r="F85" s="10"/>
      <c r="G85" s="10"/>
      <c r="H85" s="4"/>
      <c r="I85" s="4"/>
      <c r="J85" s="7"/>
      <c r="K85" s="7"/>
      <c r="L85" s="7">
        <v>140</v>
      </c>
      <c r="M85" s="7">
        <f t="shared" ref="M85:M108" si="61">INDEX($A$113:$A$125,MATCH(L85,$B$113:$B$125,1))</f>
        <v>6</v>
      </c>
      <c r="N85" s="7">
        <v>4</v>
      </c>
      <c r="O85" s="4">
        <f t="shared" si="59"/>
        <v>2</v>
      </c>
      <c r="P85" s="7">
        <f t="shared" si="60"/>
        <v>1.5</v>
      </c>
      <c r="Q85" s="7">
        <f>1+$J$84</f>
        <v>2</v>
      </c>
      <c r="R85" s="7">
        <v>1</v>
      </c>
      <c r="S85" s="7">
        <v>0</v>
      </c>
      <c r="T85" s="7">
        <v>0</v>
      </c>
      <c r="U85" s="7">
        <f t="shared" si="57"/>
        <v>5.7</v>
      </c>
      <c r="V85" s="4">
        <v>1</v>
      </c>
      <c r="W85" s="7">
        <f t="shared" si="50"/>
        <v>4</v>
      </c>
      <c r="X85" s="4">
        <f t="shared" si="51"/>
        <v>8</v>
      </c>
      <c r="Y85" s="4">
        <f t="shared" si="52"/>
        <v>0</v>
      </c>
      <c r="Z85" s="7">
        <v>1</v>
      </c>
      <c r="AA85" s="7">
        <v>15</v>
      </c>
      <c r="AB85" s="7">
        <v>25</v>
      </c>
      <c r="AC85" s="7">
        <v>10</v>
      </c>
      <c r="AD85" s="7">
        <f t="shared" si="53"/>
        <v>4987.5</v>
      </c>
      <c r="AE85" s="4">
        <f t="shared" si="54"/>
        <v>333</v>
      </c>
      <c r="AF85" s="4">
        <f t="shared" si="55"/>
        <v>249</v>
      </c>
      <c r="AG85" s="4">
        <v>0.75</v>
      </c>
      <c r="AH85" s="4">
        <f t="shared" si="56"/>
        <v>249</v>
      </c>
      <c r="AI85" s="4">
        <f>怪物难度系数!R10/怪物难度系数!E10</f>
        <v>2.48586118251928</v>
      </c>
      <c r="AJ85" s="4">
        <f t="shared" si="58"/>
        <v>619</v>
      </c>
      <c r="AK85" s="4"/>
      <c r="AL85" s="7"/>
    </row>
    <row r="86" customFormat="1" spans="1:38">
      <c r="A86" s="4">
        <v>8</v>
      </c>
      <c r="B86" s="7"/>
      <c r="C86" s="7"/>
      <c r="D86" s="7"/>
      <c r="E86" s="7">
        <v>1</v>
      </c>
      <c r="F86" s="7"/>
      <c r="G86" s="7"/>
      <c r="H86" s="4"/>
      <c r="I86" s="4"/>
      <c r="J86" s="7"/>
      <c r="K86" s="7">
        <v>1</v>
      </c>
      <c r="L86" s="7">
        <v>160</v>
      </c>
      <c r="M86" s="7">
        <f t="shared" si="61"/>
        <v>6</v>
      </c>
      <c r="N86" s="7">
        <v>4</v>
      </c>
      <c r="O86" s="4">
        <f t="shared" si="59"/>
        <v>2</v>
      </c>
      <c r="P86" s="7">
        <f t="shared" si="60"/>
        <v>1.5</v>
      </c>
      <c r="Q86" s="7">
        <f>1+$J$84</f>
        <v>2</v>
      </c>
      <c r="R86" s="7">
        <f>1+$K$86</f>
        <v>2</v>
      </c>
      <c r="S86" s="7">
        <v>0</v>
      </c>
      <c r="T86" s="7">
        <v>0</v>
      </c>
      <c r="U86" s="7">
        <f t="shared" si="57"/>
        <v>6.7</v>
      </c>
      <c r="V86" s="4">
        <v>1</v>
      </c>
      <c r="W86" s="7">
        <f t="shared" si="50"/>
        <v>4</v>
      </c>
      <c r="X86" s="4">
        <f t="shared" si="51"/>
        <v>8</v>
      </c>
      <c r="Y86" s="4">
        <f t="shared" si="52"/>
        <v>0</v>
      </c>
      <c r="Z86" s="7">
        <v>1</v>
      </c>
      <c r="AA86" s="7">
        <v>15</v>
      </c>
      <c r="AB86" s="7">
        <v>25</v>
      </c>
      <c r="AC86" s="7">
        <v>10</v>
      </c>
      <c r="AD86" s="7">
        <f t="shared" si="53"/>
        <v>5862.5</v>
      </c>
      <c r="AE86" s="4">
        <f t="shared" si="54"/>
        <v>391</v>
      </c>
      <c r="AF86" s="4">
        <f t="shared" si="55"/>
        <v>293</v>
      </c>
      <c r="AG86" s="4">
        <v>0.75</v>
      </c>
      <c r="AH86" s="4">
        <f t="shared" si="56"/>
        <v>293</v>
      </c>
      <c r="AI86" s="4">
        <f>怪物难度系数!R11/怪物难度系数!E11</f>
        <v>3.58600583090379</v>
      </c>
      <c r="AJ86" s="4">
        <f t="shared" si="58"/>
        <v>1051</v>
      </c>
      <c r="AK86" s="4"/>
      <c r="AL86" s="7"/>
    </row>
    <row r="87" customFormat="1" spans="1:38">
      <c r="A87" s="9">
        <v>9</v>
      </c>
      <c r="B87" s="10"/>
      <c r="C87" s="10"/>
      <c r="D87" s="10"/>
      <c r="E87" s="10"/>
      <c r="F87" s="10"/>
      <c r="G87" s="10"/>
      <c r="H87" s="4"/>
      <c r="I87" s="4"/>
      <c r="J87" s="7">
        <v>0.5</v>
      </c>
      <c r="K87" s="7"/>
      <c r="L87" s="7">
        <v>180</v>
      </c>
      <c r="M87" s="7">
        <f t="shared" si="61"/>
        <v>7</v>
      </c>
      <c r="N87" s="7">
        <v>4</v>
      </c>
      <c r="O87" s="4">
        <f t="shared" si="59"/>
        <v>2</v>
      </c>
      <c r="P87" s="7">
        <f t="shared" si="60"/>
        <v>1.5</v>
      </c>
      <c r="Q87" s="7">
        <f>(1+$J$84)*(1+$J$87)</f>
        <v>3</v>
      </c>
      <c r="R87" s="7">
        <f>1+$K$86</f>
        <v>2</v>
      </c>
      <c r="S87" s="7">
        <v>0</v>
      </c>
      <c r="T87" s="7">
        <v>0</v>
      </c>
      <c r="U87" s="7">
        <f t="shared" si="57"/>
        <v>7.7</v>
      </c>
      <c r="V87" s="4">
        <v>1</v>
      </c>
      <c r="W87" s="7">
        <f t="shared" si="50"/>
        <v>4</v>
      </c>
      <c r="X87" s="4">
        <f t="shared" si="51"/>
        <v>8</v>
      </c>
      <c r="Y87" s="4">
        <f t="shared" si="52"/>
        <v>0</v>
      </c>
      <c r="Z87" s="7">
        <v>1</v>
      </c>
      <c r="AA87" s="7">
        <v>15</v>
      </c>
      <c r="AB87" s="7">
        <v>25</v>
      </c>
      <c r="AC87" s="7">
        <v>10</v>
      </c>
      <c r="AD87" s="7">
        <f t="shared" si="53"/>
        <v>6737.5</v>
      </c>
      <c r="AE87" s="4">
        <f t="shared" si="54"/>
        <v>449</v>
      </c>
      <c r="AF87" s="4">
        <f t="shared" si="55"/>
        <v>337</v>
      </c>
      <c r="AG87" s="4">
        <v>0.75</v>
      </c>
      <c r="AH87" s="4">
        <f t="shared" si="56"/>
        <v>337</v>
      </c>
      <c r="AI87" s="4">
        <f>怪物难度系数!R12/怪物难度系数!E12</f>
        <v>5.15512465373961</v>
      </c>
      <c r="AJ87" s="4">
        <f t="shared" si="58"/>
        <v>1737</v>
      </c>
      <c r="AK87" s="4"/>
      <c r="AL87" s="7"/>
    </row>
    <row r="88" customFormat="1" spans="1:38">
      <c r="A88" s="11">
        <v>10</v>
      </c>
      <c r="B88" s="12">
        <v>1</v>
      </c>
      <c r="C88" s="12"/>
      <c r="D88" s="12"/>
      <c r="E88" s="12"/>
      <c r="F88" s="12"/>
      <c r="G88" s="12"/>
      <c r="H88" s="4">
        <v>0.5</v>
      </c>
      <c r="I88" s="4"/>
      <c r="J88" s="7"/>
      <c r="K88" s="7"/>
      <c r="L88" s="7">
        <v>200</v>
      </c>
      <c r="M88" s="7">
        <f t="shared" si="61"/>
        <v>7</v>
      </c>
      <c r="N88" s="7">
        <v>4</v>
      </c>
      <c r="O88" s="4">
        <f>W88*(1-(N88-1)/4)*(1+$H$80)*(1+$H$88)</f>
        <v>3</v>
      </c>
      <c r="P88" s="7">
        <f t="shared" si="60"/>
        <v>1.5</v>
      </c>
      <c r="Q88" s="7">
        <f>(1+$J$84)*(1+$J$87)</f>
        <v>3</v>
      </c>
      <c r="R88" s="7">
        <f>1+$K$86</f>
        <v>2</v>
      </c>
      <c r="S88" s="7">
        <v>0</v>
      </c>
      <c r="T88" s="7">
        <v>0</v>
      </c>
      <c r="U88" s="7">
        <f t="shared" si="57"/>
        <v>8.3</v>
      </c>
      <c r="V88" s="4">
        <v>1</v>
      </c>
      <c r="W88" s="7">
        <f t="shared" si="50"/>
        <v>4</v>
      </c>
      <c r="X88" s="4">
        <f t="shared" si="51"/>
        <v>12</v>
      </c>
      <c r="Y88" s="4">
        <f t="shared" si="52"/>
        <v>0</v>
      </c>
      <c r="Z88" s="7">
        <v>1</v>
      </c>
      <c r="AA88" s="7">
        <v>30</v>
      </c>
      <c r="AB88" s="7">
        <v>25</v>
      </c>
      <c r="AC88" s="7">
        <v>10</v>
      </c>
      <c r="AD88" s="7">
        <f t="shared" si="53"/>
        <v>7262.5</v>
      </c>
      <c r="AE88" s="4">
        <f t="shared" si="54"/>
        <v>242</v>
      </c>
      <c r="AF88" s="4">
        <f t="shared" si="55"/>
        <v>194</v>
      </c>
      <c r="AG88" s="4">
        <v>0.8</v>
      </c>
      <c r="AH88" s="4">
        <f t="shared" si="56"/>
        <v>194</v>
      </c>
      <c r="AI88" s="4">
        <f>怪物难度系数!R13/怪物难度系数!E13</f>
        <v>10.7</v>
      </c>
      <c r="AJ88" s="4">
        <f t="shared" si="58"/>
        <v>2076</v>
      </c>
      <c r="AK88" s="4"/>
      <c r="AL88" s="7"/>
    </row>
    <row r="89" customFormat="1" spans="1:38">
      <c r="A89" s="9">
        <v>11</v>
      </c>
      <c r="B89" s="10"/>
      <c r="C89" s="10"/>
      <c r="D89" s="10"/>
      <c r="E89" s="10"/>
      <c r="F89" s="10"/>
      <c r="G89" s="10"/>
      <c r="H89" s="4"/>
      <c r="I89" s="4"/>
      <c r="J89" s="7"/>
      <c r="K89" s="7">
        <v>0.5</v>
      </c>
      <c r="L89" s="7">
        <v>220</v>
      </c>
      <c r="M89" s="7">
        <f t="shared" si="61"/>
        <v>8</v>
      </c>
      <c r="N89" s="7">
        <v>4</v>
      </c>
      <c r="O89" s="4">
        <f>W89*(1-(N89-1)/4)*(1+$H$80)*(1+$H$88)</f>
        <v>3</v>
      </c>
      <c r="P89" s="7">
        <f t="shared" si="60"/>
        <v>1.5</v>
      </c>
      <c r="Q89" s="7">
        <f>(1+$J$84)*(1+$J$87)</f>
        <v>3</v>
      </c>
      <c r="R89" s="7">
        <f>(1+$K$86)*(1+$K$89)</f>
        <v>3</v>
      </c>
      <c r="S89" s="7">
        <v>0</v>
      </c>
      <c r="T89" s="7">
        <v>0</v>
      </c>
      <c r="U89" s="7">
        <f t="shared" si="57"/>
        <v>9.3</v>
      </c>
      <c r="V89" s="4">
        <v>1</v>
      </c>
      <c r="W89" s="7">
        <f t="shared" si="50"/>
        <v>4</v>
      </c>
      <c r="X89" s="4">
        <f t="shared" si="51"/>
        <v>12</v>
      </c>
      <c r="Y89" s="4">
        <f t="shared" si="52"/>
        <v>0</v>
      </c>
      <c r="Z89" s="7">
        <v>1</v>
      </c>
      <c r="AA89" s="7">
        <v>22</v>
      </c>
      <c r="AB89" s="7">
        <v>25</v>
      </c>
      <c r="AC89" s="7">
        <v>10</v>
      </c>
      <c r="AD89" s="7">
        <f t="shared" si="53"/>
        <v>8137.5</v>
      </c>
      <c r="AE89" s="4">
        <f t="shared" si="54"/>
        <v>370</v>
      </c>
      <c r="AF89" s="4">
        <f t="shared" si="55"/>
        <v>296</v>
      </c>
      <c r="AG89" s="4">
        <v>0.8</v>
      </c>
      <c r="AH89" s="4">
        <f t="shared" si="56"/>
        <v>296</v>
      </c>
      <c r="AI89" s="4">
        <f>怪物难度系数!R14/怪物难度系数!E14</f>
        <v>10.7043214556482</v>
      </c>
      <c r="AJ89" s="4">
        <f t="shared" si="58"/>
        <v>3168</v>
      </c>
      <c r="AK89" s="4"/>
      <c r="AL89" s="7"/>
    </row>
    <row r="90" customFormat="1" spans="1:38">
      <c r="A90" s="9">
        <v>12</v>
      </c>
      <c r="B90" s="10"/>
      <c r="C90" s="10">
        <v>1</v>
      </c>
      <c r="D90" s="10"/>
      <c r="E90" s="10"/>
      <c r="F90" s="10"/>
      <c r="G90" s="10"/>
      <c r="H90" s="4"/>
      <c r="I90" s="4">
        <v>0.5</v>
      </c>
      <c r="J90" s="7"/>
      <c r="K90" s="7"/>
      <c r="L90" s="7">
        <v>240</v>
      </c>
      <c r="M90" s="7">
        <f t="shared" si="61"/>
        <v>8</v>
      </c>
      <c r="N90" s="7">
        <v>4</v>
      </c>
      <c r="O90" s="4">
        <f>W90*(1-(N90-1)/4)*(1+$H$80)*(1+$H$88)</f>
        <v>3</v>
      </c>
      <c r="P90" s="7">
        <f>(1+$I$82)*(1+$I$90)</f>
        <v>2.25</v>
      </c>
      <c r="Q90" s="7">
        <f>(1+$J$84)*(1+$J$87)</f>
        <v>3</v>
      </c>
      <c r="R90" s="7">
        <f t="shared" ref="R90:R99" si="62">(1+$K$86)*(1+$K$89)</f>
        <v>3</v>
      </c>
      <c r="S90" s="7">
        <v>0</v>
      </c>
      <c r="T90" s="7">
        <v>0</v>
      </c>
      <c r="U90" s="7">
        <f t="shared" si="57"/>
        <v>10.05</v>
      </c>
      <c r="V90" s="4">
        <v>1</v>
      </c>
      <c r="W90" s="7">
        <f t="shared" si="50"/>
        <v>4</v>
      </c>
      <c r="X90" s="4">
        <f t="shared" si="51"/>
        <v>12</v>
      </c>
      <c r="Y90" s="4">
        <f t="shared" si="52"/>
        <v>0</v>
      </c>
      <c r="Z90" s="7">
        <v>1</v>
      </c>
      <c r="AA90" s="7">
        <v>22</v>
      </c>
      <c r="AB90" s="7">
        <v>25</v>
      </c>
      <c r="AC90" s="7">
        <v>10</v>
      </c>
      <c r="AD90" s="7">
        <f t="shared" si="53"/>
        <v>8793.75</v>
      </c>
      <c r="AE90" s="4">
        <f t="shared" si="54"/>
        <v>400</v>
      </c>
      <c r="AF90" s="4">
        <f t="shared" si="55"/>
        <v>320</v>
      </c>
      <c r="AG90" s="4">
        <v>0.8</v>
      </c>
      <c r="AH90" s="4">
        <f t="shared" si="56"/>
        <v>320</v>
      </c>
      <c r="AI90" s="4">
        <f>怪物难度系数!R15/怪物难度系数!E15</f>
        <v>10.6994002998501</v>
      </c>
      <c r="AJ90" s="4">
        <f t="shared" si="58"/>
        <v>3424</v>
      </c>
      <c r="AK90" s="4"/>
      <c r="AL90" s="7"/>
    </row>
    <row r="91" customFormat="1" spans="1:38">
      <c r="A91" s="9">
        <v>13</v>
      </c>
      <c r="B91" s="10"/>
      <c r="C91" s="10"/>
      <c r="D91" s="10"/>
      <c r="E91" s="10"/>
      <c r="F91" s="10"/>
      <c r="G91" s="10"/>
      <c r="H91" s="4">
        <v>0.5</v>
      </c>
      <c r="I91" s="4"/>
      <c r="J91" s="7"/>
      <c r="K91" s="7"/>
      <c r="L91" s="7">
        <v>260</v>
      </c>
      <c r="M91" s="7">
        <f t="shared" si="61"/>
        <v>8</v>
      </c>
      <c r="N91" s="7">
        <v>4</v>
      </c>
      <c r="O91" s="4">
        <f>W91*(1-(N91-1)/4)*(1+$H$80)*(1+$H$88+$H$91)</f>
        <v>4</v>
      </c>
      <c r="P91" s="7">
        <f>(1+$I$82)*(1+$I$90)</f>
        <v>2.25</v>
      </c>
      <c r="Q91" s="7">
        <f>(1+$J$84)*(1+$J$87)</f>
        <v>3</v>
      </c>
      <c r="R91" s="7">
        <f t="shared" si="62"/>
        <v>3</v>
      </c>
      <c r="S91" s="7">
        <v>0</v>
      </c>
      <c r="T91" s="7">
        <v>0</v>
      </c>
      <c r="U91" s="7">
        <f t="shared" si="57"/>
        <v>10.65</v>
      </c>
      <c r="V91" s="4">
        <v>1</v>
      </c>
      <c r="W91" s="7">
        <f t="shared" si="50"/>
        <v>4</v>
      </c>
      <c r="X91" s="4">
        <f t="shared" si="51"/>
        <v>16</v>
      </c>
      <c r="Y91" s="4">
        <f t="shared" si="52"/>
        <v>0</v>
      </c>
      <c r="Z91" s="7">
        <v>1</v>
      </c>
      <c r="AA91" s="7">
        <v>22</v>
      </c>
      <c r="AB91" s="7">
        <v>25</v>
      </c>
      <c r="AC91" s="7">
        <v>10</v>
      </c>
      <c r="AD91" s="7">
        <f t="shared" si="53"/>
        <v>9318.75</v>
      </c>
      <c r="AE91" s="4">
        <f t="shared" si="54"/>
        <v>424</v>
      </c>
      <c r="AF91" s="4">
        <f t="shared" si="55"/>
        <v>339</v>
      </c>
      <c r="AG91" s="4">
        <v>0.8</v>
      </c>
      <c r="AH91" s="4">
        <f t="shared" si="56"/>
        <v>339</v>
      </c>
      <c r="AI91" s="4" t="e">
        <f>怪物难度系数!R16/怪物难度系数!E16</f>
        <v>#DIV/0!</v>
      </c>
      <c r="AJ91" s="4" t="e">
        <f t="shared" si="58"/>
        <v>#DIV/0!</v>
      </c>
      <c r="AK91" s="4"/>
      <c r="AL91" s="7"/>
    </row>
    <row r="92" customFormat="1" spans="1:38">
      <c r="A92" s="9">
        <v>14</v>
      </c>
      <c r="B92" s="10"/>
      <c r="C92" s="10"/>
      <c r="D92" s="10">
        <v>1</v>
      </c>
      <c r="E92" s="10"/>
      <c r="F92" s="10"/>
      <c r="G92" s="10"/>
      <c r="H92" s="4"/>
      <c r="I92" s="4"/>
      <c r="J92" s="7">
        <v>0.5</v>
      </c>
      <c r="K92" s="7"/>
      <c r="L92" s="7">
        <v>280</v>
      </c>
      <c r="M92" s="7">
        <f t="shared" si="61"/>
        <v>9</v>
      </c>
      <c r="N92" s="7">
        <v>4</v>
      </c>
      <c r="O92" s="4">
        <f t="shared" ref="O92:O97" si="63">W92*(1-(N92-1)/4)*(1+$H$80)*(1+$H$88+$H$91)</f>
        <v>4</v>
      </c>
      <c r="P92" s="7">
        <f>(1+$I$82)*(1+$I$90)</f>
        <v>2.25</v>
      </c>
      <c r="Q92" s="7">
        <f>(1+$J$84)*(1+$J$87+$J$92)</f>
        <v>4</v>
      </c>
      <c r="R92" s="7">
        <f t="shared" si="62"/>
        <v>3</v>
      </c>
      <c r="S92" s="7">
        <v>0</v>
      </c>
      <c r="T92" s="7">
        <v>0</v>
      </c>
      <c r="U92" s="7">
        <f t="shared" si="57"/>
        <v>11.65</v>
      </c>
      <c r="V92" s="4">
        <v>1</v>
      </c>
      <c r="W92" s="7">
        <f t="shared" si="50"/>
        <v>4</v>
      </c>
      <c r="X92" s="4">
        <f t="shared" si="51"/>
        <v>16</v>
      </c>
      <c r="Y92" s="4">
        <f t="shared" si="52"/>
        <v>0</v>
      </c>
      <c r="Z92" s="7">
        <v>1</v>
      </c>
      <c r="AA92" s="7">
        <v>22</v>
      </c>
      <c r="AB92" s="7">
        <v>25</v>
      </c>
      <c r="AC92" s="7">
        <v>10</v>
      </c>
      <c r="AD92" s="7">
        <f t="shared" si="53"/>
        <v>10193.75</v>
      </c>
      <c r="AE92" s="4">
        <f t="shared" si="54"/>
        <v>463</v>
      </c>
      <c r="AF92" s="4">
        <f t="shared" si="55"/>
        <v>371</v>
      </c>
      <c r="AG92" s="4">
        <v>0.8</v>
      </c>
      <c r="AH92" s="4">
        <f t="shared" si="56"/>
        <v>371</v>
      </c>
      <c r="AI92" s="4" t="e">
        <f>怪物难度系数!R17/怪物难度系数!E17</f>
        <v>#DIV/0!</v>
      </c>
      <c r="AJ92" s="4" t="e">
        <f t="shared" si="58"/>
        <v>#DIV/0!</v>
      </c>
      <c r="AK92" s="4"/>
      <c r="AL92" s="7"/>
    </row>
    <row r="93" customFormat="1" spans="1:38">
      <c r="A93" s="9">
        <v>15</v>
      </c>
      <c r="B93" s="10"/>
      <c r="C93" s="10"/>
      <c r="D93" s="10"/>
      <c r="E93" s="10"/>
      <c r="F93" s="10"/>
      <c r="G93" s="10"/>
      <c r="H93" s="4"/>
      <c r="I93" s="4"/>
      <c r="J93" s="7"/>
      <c r="K93" s="7"/>
      <c r="L93" s="7">
        <v>300</v>
      </c>
      <c r="M93" s="7">
        <f t="shared" si="61"/>
        <v>9</v>
      </c>
      <c r="N93" s="7">
        <v>4</v>
      </c>
      <c r="O93" s="4">
        <f t="shared" si="63"/>
        <v>4</v>
      </c>
      <c r="P93" s="7">
        <f>(1+$I$82)*(1+$I$90)</f>
        <v>2.25</v>
      </c>
      <c r="Q93" s="7">
        <f>(1+$J$84)*(1+$J$87+$J$92)</f>
        <v>4</v>
      </c>
      <c r="R93" s="7">
        <f t="shared" si="62"/>
        <v>3</v>
      </c>
      <c r="S93" s="7">
        <v>0</v>
      </c>
      <c r="T93" s="7">
        <v>0</v>
      </c>
      <c r="U93" s="7">
        <f t="shared" si="57"/>
        <v>11.65</v>
      </c>
      <c r="V93" s="4">
        <v>1</v>
      </c>
      <c r="W93" s="7">
        <f t="shared" si="50"/>
        <v>4</v>
      </c>
      <c r="X93" s="4">
        <f t="shared" si="51"/>
        <v>16</v>
      </c>
      <c r="Y93" s="4">
        <f t="shared" si="52"/>
        <v>0</v>
      </c>
      <c r="Z93" s="7">
        <v>1</v>
      </c>
      <c r="AA93" s="7">
        <v>22</v>
      </c>
      <c r="AB93" s="7">
        <v>25</v>
      </c>
      <c r="AC93" s="7">
        <v>10</v>
      </c>
      <c r="AD93" s="7">
        <f t="shared" si="53"/>
        <v>10193.75</v>
      </c>
      <c r="AE93" s="4">
        <f t="shared" si="54"/>
        <v>463</v>
      </c>
      <c r="AF93" s="4">
        <f t="shared" si="55"/>
        <v>324</v>
      </c>
      <c r="AG93" s="4">
        <v>0.7</v>
      </c>
      <c r="AH93" s="4">
        <f t="shared" si="56"/>
        <v>324</v>
      </c>
      <c r="AI93" s="4" t="e">
        <f>怪物难度系数!R18/怪物难度系数!E18</f>
        <v>#DIV/0!</v>
      </c>
      <c r="AJ93" s="4" t="e">
        <f t="shared" si="58"/>
        <v>#DIV/0!</v>
      </c>
      <c r="AK93" s="4"/>
      <c r="AL93" s="7"/>
    </row>
    <row r="94" customFormat="1" spans="1:38">
      <c r="A94" s="9">
        <v>16</v>
      </c>
      <c r="B94" s="10"/>
      <c r="C94" s="10"/>
      <c r="D94" s="10"/>
      <c r="E94" s="10"/>
      <c r="F94" s="10"/>
      <c r="G94" s="10"/>
      <c r="H94" s="4"/>
      <c r="I94" s="4"/>
      <c r="J94" s="7">
        <v>1</v>
      </c>
      <c r="K94" s="7"/>
      <c r="L94" s="7">
        <v>320</v>
      </c>
      <c r="M94" s="7">
        <f t="shared" si="61"/>
        <v>9</v>
      </c>
      <c r="N94" s="7">
        <v>4</v>
      </c>
      <c r="O94" s="4">
        <f t="shared" si="63"/>
        <v>4</v>
      </c>
      <c r="P94" s="7">
        <f>(1+$I$82)*(1+$I$90)</f>
        <v>2.25</v>
      </c>
      <c r="Q94" s="7">
        <f>(1+$J$84+$J$94)*(1+$J$87+$J$92)</f>
        <v>6</v>
      </c>
      <c r="R94" s="7">
        <f t="shared" si="62"/>
        <v>3</v>
      </c>
      <c r="S94" s="7">
        <v>0</v>
      </c>
      <c r="T94" s="7">
        <v>0</v>
      </c>
      <c r="U94" s="7">
        <f t="shared" si="57"/>
        <v>13.65</v>
      </c>
      <c r="V94" s="4">
        <v>1</v>
      </c>
      <c r="W94" s="7">
        <f t="shared" si="50"/>
        <v>4</v>
      </c>
      <c r="X94" s="4">
        <f t="shared" si="51"/>
        <v>16</v>
      </c>
      <c r="Y94" s="4">
        <f t="shared" si="52"/>
        <v>0</v>
      </c>
      <c r="Z94" s="7">
        <v>1</v>
      </c>
      <c r="AA94" s="7">
        <v>22</v>
      </c>
      <c r="AB94" s="7">
        <v>25</v>
      </c>
      <c r="AC94" s="7">
        <v>10</v>
      </c>
      <c r="AD94" s="7">
        <f t="shared" si="53"/>
        <v>11943.75</v>
      </c>
      <c r="AE94" s="4">
        <f t="shared" si="54"/>
        <v>543</v>
      </c>
      <c r="AF94" s="4">
        <f t="shared" si="55"/>
        <v>326</v>
      </c>
      <c r="AG94" s="4">
        <v>0.6</v>
      </c>
      <c r="AH94" s="4">
        <f t="shared" si="56"/>
        <v>326</v>
      </c>
      <c r="AI94" s="4" t="e">
        <f>怪物难度系数!R19/怪物难度系数!E19</f>
        <v>#DIV/0!</v>
      </c>
      <c r="AJ94" s="4" t="e">
        <f t="shared" si="58"/>
        <v>#DIV/0!</v>
      </c>
      <c r="AK94" s="4"/>
      <c r="AL94" s="7"/>
    </row>
    <row r="95" customFormat="1" spans="1:38">
      <c r="A95" s="9">
        <v>17</v>
      </c>
      <c r="B95" s="10"/>
      <c r="C95" s="10"/>
      <c r="D95" s="10"/>
      <c r="E95" s="10">
        <v>1</v>
      </c>
      <c r="F95" s="10"/>
      <c r="G95" s="10"/>
      <c r="H95" s="4"/>
      <c r="I95" s="4">
        <v>0.5</v>
      </c>
      <c r="J95" s="7"/>
      <c r="K95" s="7">
        <v>0.5</v>
      </c>
      <c r="L95" s="7">
        <v>340</v>
      </c>
      <c r="M95" s="7">
        <f t="shared" si="61"/>
        <v>10</v>
      </c>
      <c r="N95" s="7">
        <v>4</v>
      </c>
      <c r="O95" s="4">
        <f t="shared" si="63"/>
        <v>4</v>
      </c>
      <c r="P95" s="7">
        <f>(1+$I$82+$I$95)*(1+$I$90)</f>
        <v>3</v>
      </c>
      <c r="Q95" s="7">
        <f t="shared" ref="Q95:Q108" si="64">(1+$J$84+$J$94)*(1+$J$87+$J$92)</f>
        <v>6</v>
      </c>
      <c r="R95" s="7">
        <f>(1+$K$86)*(1+$K$89+$K$95)</f>
        <v>4</v>
      </c>
      <c r="S95" s="7">
        <v>0</v>
      </c>
      <c r="T95" s="7">
        <v>0</v>
      </c>
      <c r="U95" s="7">
        <f t="shared" si="57"/>
        <v>15.4</v>
      </c>
      <c r="V95" s="4">
        <v>1</v>
      </c>
      <c r="W95" s="7">
        <f t="shared" si="50"/>
        <v>4</v>
      </c>
      <c r="X95" s="4">
        <f t="shared" si="51"/>
        <v>16</v>
      </c>
      <c r="Y95" s="4">
        <f t="shared" si="52"/>
        <v>0</v>
      </c>
      <c r="Z95" s="7">
        <v>1</v>
      </c>
      <c r="AA95" s="7">
        <v>22</v>
      </c>
      <c r="AB95" s="7">
        <v>25</v>
      </c>
      <c r="AC95" s="7">
        <v>10</v>
      </c>
      <c r="AD95" s="7">
        <f t="shared" si="53"/>
        <v>13475</v>
      </c>
      <c r="AE95" s="4">
        <f t="shared" si="54"/>
        <v>613</v>
      </c>
      <c r="AF95" s="4">
        <f t="shared" si="55"/>
        <v>459</v>
      </c>
      <c r="AG95" s="4">
        <v>0.75</v>
      </c>
      <c r="AH95" s="4">
        <f t="shared" si="56"/>
        <v>459</v>
      </c>
      <c r="AI95" s="4" t="e">
        <f>怪物难度系数!R20/怪物难度系数!E20</f>
        <v>#DIV/0!</v>
      </c>
      <c r="AJ95" s="4" t="e">
        <f t="shared" si="58"/>
        <v>#DIV/0!</v>
      </c>
      <c r="AK95" s="4"/>
      <c r="AL95" s="7"/>
    </row>
    <row r="96" customFormat="1" spans="1:38">
      <c r="A96" s="9">
        <v>18</v>
      </c>
      <c r="B96" s="10"/>
      <c r="C96" s="10"/>
      <c r="D96" s="10"/>
      <c r="E96" s="10"/>
      <c r="F96" s="10"/>
      <c r="G96" s="10"/>
      <c r="H96" s="4"/>
      <c r="I96" s="4"/>
      <c r="J96" s="7"/>
      <c r="K96" s="7"/>
      <c r="L96" s="7">
        <v>360</v>
      </c>
      <c r="M96" s="7">
        <f t="shared" si="61"/>
        <v>10</v>
      </c>
      <c r="N96" s="7">
        <v>4</v>
      </c>
      <c r="O96" s="4">
        <f t="shared" si="63"/>
        <v>4</v>
      </c>
      <c r="P96" s="7">
        <f>(1+$I$82+$I$95)*(1+$I$90)</f>
        <v>3</v>
      </c>
      <c r="Q96" s="7">
        <f t="shared" si="64"/>
        <v>6</v>
      </c>
      <c r="R96" s="7">
        <f t="shared" ref="R96:R108" si="65">(1+$K$86)*(1+$K$89+$K$95)</f>
        <v>4</v>
      </c>
      <c r="S96" s="7">
        <v>0</v>
      </c>
      <c r="T96" s="7">
        <v>0</v>
      </c>
      <c r="U96" s="7">
        <f t="shared" si="57"/>
        <v>15.4</v>
      </c>
      <c r="V96" s="4">
        <v>1</v>
      </c>
      <c r="W96" s="7">
        <f t="shared" si="50"/>
        <v>4</v>
      </c>
      <c r="X96" s="4">
        <f t="shared" si="51"/>
        <v>16</v>
      </c>
      <c r="Y96" s="4">
        <f t="shared" si="52"/>
        <v>0</v>
      </c>
      <c r="Z96" s="7">
        <v>1</v>
      </c>
      <c r="AA96" s="7">
        <v>22</v>
      </c>
      <c r="AB96" s="7">
        <v>25</v>
      </c>
      <c r="AC96" s="7">
        <v>10</v>
      </c>
      <c r="AD96" s="7">
        <f t="shared" si="53"/>
        <v>13475</v>
      </c>
      <c r="AE96" s="4">
        <f t="shared" si="54"/>
        <v>613</v>
      </c>
      <c r="AF96" s="4">
        <f t="shared" si="55"/>
        <v>490</v>
      </c>
      <c r="AG96" s="4">
        <v>0.8</v>
      </c>
      <c r="AH96" s="4">
        <f t="shared" si="56"/>
        <v>490</v>
      </c>
      <c r="AI96" s="4" t="e">
        <f>怪物难度系数!R21/怪物难度系数!E21</f>
        <v>#DIV/0!</v>
      </c>
      <c r="AJ96" s="4" t="e">
        <f t="shared" si="58"/>
        <v>#DIV/0!</v>
      </c>
      <c r="AK96" s="4"/>
      <c r="AL96" s="7"/>
    </row>
    <row r="97" customFormat="1" spans="1:38">
      <c r="A97" s="9">
        <v>19</v>
      </c>
      <c r="B97" s="10"/>
      <c r="C97" s="10"/>
      <c r="D97" s="10"/>
      <c r="E97" s="10"/>
      <c r="F97" s="10"/>
      <c r="G97" s="10"/>
      <c r="H97" s="4"/>
      <c r="I97" s="4"/>
      <c r="J97" s="7"/>
      <c r="K97" s="7"/>
      <c r="L97" s="7">
        <v>380</v>
      </c>
      <c r="M97" s="7">
        <f t="shared" si="61"/>
        <v>10</v>
      </c>
      <c r="N97" s="7">
        <v>4</v>
      </c>
      <c r="O97" s="4">
        <f t="shared" si="63"/>
        <v>4</v>
      </c>
      <c r="P97" s="7">
        <f>(1+$I$82+$I$95)*(1+$I$90)</f>
        <v>3</v>
      </c>
      <c r="Q97" s="7">
        <f t="shared" si="64"/>
        <v>6</v>
      </c>
      <c r="R97" s="7">
        <f t="shared" si="65"/>
        <v>4</v>
      </c>
      <c r="S97" s="7">
        <v>0</v>
      </c>
      <c r="T97" s="7">
        <v>0</v>
      </c>
      <c r="U97" s="7">
        <f t="shared" si="57"/>
        <v>15.4</v>
      </c>
      <c r="V97" s="4">
        <v>1</v>
      </c>
      <c r="W97" s="7">
        <f t="shared" si="50"/>
        <v>4</v>
      </c>
      <c r="X97" s="4">
        <f t="shared" si="51"/>
        <v>16</v>
      </c>
      <c r="Y97" s="4">
        <f t="shared" si="52"/>
        <v>0</v>
      </c>
      <c r="Z97" s="7">
        <v>1</v>
      </c>
      <c r="AA97" s="7">
        <v>22</v>
      </c>
      <c r="AB97" s="7">
        <v>25</v>
      </c>
      <c r="AC97" s="7">
        <v>10</v>
      </c>
      <c r="AD97" s="7">
        <f t="shared" si="53"/>
        <v>13475</v>
      </c>
      <c r="AE97" s="4">
        <f t="shared" si="54"/>
        <v>613</v>
      </c>
      <c r="AF97" s="4">
        <f t="shared" si="55"/>
        <v>551</v>
      </c>
      <c r="AG97" s="4">
        <v>0.9</v>
      </c>
      <c r="AH97" s="4">
        <f t="shared" si="56"/>
        <v>551</v>
      </c>
      <c r="AI97" s="4" t="e">
        <f>怪物难度系数!R22/怪物难度系数!E22</f>
        <v>#DIV/0!</v>
      </c>
      <c r="AJ97" s="4" t="e">
        <f t="shared" si="58"/>
        <v>#DIV/0!</v>
      </c>
      <c r="AK97" s="4"/>
      <c r="AL97" s="7"/>
    </row>
    <row r="98" customFormat="1" spans="1:38">
      <c r="A98" s="9">
        <v>20</v>
      </c>
      <c r="B98" s="10">
        <v>1</v>
      </c>
      <c r="C98" s="10"/>
      <c r="D98" s="10"/>
      <c r="E98" s="10"/>
      <c r="F98" s="10"/>
      <c r="G98" s="10"/>
      <c r="H98" s="4">
        <v>1</v>
      </c>
      <c r="I98" s="4"/>
      <c r="J98" s="7"/>
      <c r="K98" s="7"/>
      <c r="L98" s="7">
        <v>400</v>
      </c>
      <c r="M98" s="7">
        <f t="shared" si="61"/>
        <v>11</v>
      </c>
      <c r="N98" s="7">
        <v>4</v>
      </c>
      <c r="O98" s="4">
        <f>W98*(1-(N98-1)/4)*(1+$H$80+$H$98)*(1+$H$88+$H$91)</f>
        <v>6</v>
      </c>
      <c r="P98" s="7">
        <f>(1+$I$82+$I$95)*(1+$I$90)</f>
        <v>3</v>
      </c>
      <c r="Q98" s="7">
        <f t="shared" si="64"/>
        <v>6</v>
      </c>
      <c r="R98" s="7">
        <f t="shared" si="65"/>
        <v>4</v>
      </c>
      <c r="S98" s="7">
        <v>0</v>
      </c>
      <c r="T98" s="7">
        <v>0</v>
      </c>
      <c r="U98" s="7">
        <f t="shared" si="57"/>
        <v>16.6</v>
      </c>
      <c r="V98" s="4">
        <v>1.1</v>
      </c>
      <c r="W98" s="7">
        <f t="shared" si="50"/>
        <v>4</v>
      </c>
      <c r="X98" s="4">
        <f t="shared" si="51"/>
        <v>32.9786114475993</v>
      </c>
      <c r="Y98" s="4">
        <f t="shared" si="52"/>
        <v>0</v>
      </c>
      <c r="Z98" s="7">
        <v>1</v>
      </c>
      <c r="AA98" s="7">
        <v>22</v>
      </c>
      <c r="AB98" s="7">
        <v>25</v>
      </c>
      <c r="AC98" s="7">
        <v>10</v>
      </c>
      <c r="AD98" s="7">
        <f t="shared" si="53"/>
        <v>14525</v>
      </c>
      <c r="AE98" s="4">
        <f t="shared" si="54"/>
        <v>726</v>
      </c>
      <c r="AF98" s="4">
        <f t="shared" si="55"/>
        <v>617</v>
      </c>
      <c r="AG98" s="4">
        <v>0.85</v>
      </c>
      <c r="AH98" s="4">
        <f t="shared" si="56"/>
        <v>617</v>
      </c>
      <c r="AI98" s="4" t="e">
        <f>怪物难度系数!R23/怪物难度系数!E23</f>
        <v>#DIV/0!</v>
      </c>
      <c r="AJ98" s="4" t="e">
        <f t="shared" si="58"/>
        <v>#DIV/0!</v>
      </c>
      <c r="AK98" s="4"/>
      <c r="AL98" s="7"/>
    </row>
    <row r="99" spans="1:36">
      <c r="A99" s="9">
        <v>21</v>
      </c>
      <c r="B99" s="10"/>
      <c r="C99" s="10"/>
      <c r="D99" s="13"/>
      <c r="E99" s="13"/>
      <c r="F99" s="13"/>
      <c r="G99" s="13"/>
      <c r="H99" s="4"/>
      <c r="I99" s="4">
        <v>0.5</v>
      </c>
      <c r="J99" s="7"/>
      <c r="K99" s="7"/>
      <c r="L99" s="7">
        <v>420</v>
      </c>
      <c r="M99" s="7">
        <f t="shared" si="61"/>
        <v>11</v>
      </c>
      <c r="N99" s="7">
        <v>4</v>
      </c>
      <c r="O99" s="4">
        <f t="shared" ref="O99:O108" si="66">W99*(1-(N99-1)/4)*(1+$H$80+$H$98)*(1+$H$88+$H$91)</f>
        <v>4.5</v>
      </c>
      <c r="P99" s="7">
        <f>(1+$I$82+$I$95)*(1+$I$90+$I$99)</f>
        <v>4</v>
      </c>
      <c r="Q99" s="7">
        <f t="shared" si="64"/>
        <v>6</v>
      </c>
      <c r="R99" s="7">
        <f t="shared" si="65"/>
        <v>4</v>
      </c>
      <c r="S99" s="7">
        <v>0</v>
      </c>
      <c r="T99" s="7">
        <v>0</v>
      </c>
      <c r="U99" s="7">
        <f t="shared" si="57"/>
        <v>16.7</v>
      </c>
      <c r="V99" s="4">
        <v>1.1</v>
      </c>
      <c r="W99" s="7">
        <f t="shared" ref="W99:W108" si="67">F22</f>
        <v>3</v>
      </c>
      <c r="X99" s="4">
        <f t="shared" si="51"/>
        <v>17.5132660542331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14612.5</v>
      </c>
      <c r="AE99" s="4">
        <f t="shared" si="54"/>
        <v>804</v>
      </c>
      <c r="AF99" s="4">
        <f t="shared" si="55"/>
        <v>723</v>
      </c>
      <c r="AG99" s="4">
        <v>0.9</v>
      </c>
      <c r="AH99" s="7">
        <f t="shared" si="56"/>
        <v>723</v>
      </c>
      <c r="AI99" s="4" t="e">
        <f>AI98</f>
        <v>#DIV/0!</v>
      </c>
      <c r="AJ99" s="4" t="e">
        <f t="shared" si="58"/>
        <v>#DIV/0!</v>
      </c>
    </row>
    <row r="100" spans="1:36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440</v>
      </c>
      <c r="M100" s="7">
        <f t="shared" si="61"/>
        <v>11</v>
      </c>
      <c r="N100" s="7">
        <v>4</v>
      </c>
      <c r="O100" s="4">
        <f t="shared" si="66"/>
        <v>4.5</v>
      </c>
      <c r="P100" s="7">
        <f>(1+$I$82+$I$95)*(1+$I$90+$I$99)</f>
        <v>4</v>
      </c>
      <c r="Q100" s="7">
        <f t="shared" si="64"/>
        <v>6</v>
      </c>
      <c r="R100" s="7">
        <f t="shared" si="65"/>
        <v>4</v>
      </c>
      <c r="S100" s="7">
        <v>0</v>
      </c>
      <c r="T100" s="7">
        <v>0</v>
      </c>
      <c r="U100" s="7">
        <f t="shared" si="57"/>
        <v>16.7</v>
      </c>
      <c r="V100" s="4">
        <v>1.1</v>
      </c>
      <c r="W100" s="7">
        <f t="shared" si="67"/>
        <v>3</v>
      </c>
      <c r="X100" s="4">
        <f t="shared" si="51"/>
        <v>17.5132660542331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14612.5</v>
      </c>
      <c r="AE100" s="4">
        <f t="shared" si="54"/>
        <v>804</v>
      </c>
      <c r="AF100" s="4">
        <f t="shared" si="55"/>
        <v>723</v>
      </c>
      <c r="AG100" s="4">
        <v>0.9</v>
      </c>
      <c r="AH100" s="7">
        <f t="shared" si="56"/>
        <v>723</v>
      </c>
      <c r="AI100" s="4" t="e">
        <f t="shared" ref="AI100:AI108" si="68">AI99</f>
        <v>#DIV/0!</v>
      </c>
      <c r="AJ100" s="4" t="e">
        <f t="shared" si="58"/>
        <v>#DIV/0!</v>
      </c>
    </row>
    <row r="101" spans="1:36">
      <c r="A101" s="9">
        <v>23</v>
      </c>
      <c r="B101" s="10"/>
      <c r="C101" s="10">
        <v>1</v>
      </c>
      <c r="D101" s="13"/>
      <c r="E101" s="13"/>
      <c r="F101" s="13"/>
      <c r="G101" s="13"/>
      <c r="H101" s="4"/>
      <c r="I101" s="4">
        <v>0.5</v>
      </c>
      <c r="J101" s="7"/>
      <c r="K101" s="7"/>
      <c r="L101" s="7">
        <v>460</v>
      </c>
      <c r="M101" s="7">
        <f t="shared" si="61"/>
        <v>12</v>
      </c>
      <c r="N101" s="7">
        <v>4</v>
      </c>
      <c r="O101" s="4">
        <f t="shared" si="66"/>
        <v>4.5</v>
      </c>
      <c r="P101" s="7">
        <f>(1+$I$82+$I$95+$I$101)*(1+$I$90+$I$99)</f>
        <v>5</v>
      </c>
      <c r="Q101" s="7">
        <f t="shared" si="64"/>
        <v>6</v>
      </c>
      <c r="R101" s="7">
        <f t="shared" si="65"/>
        <v>4</v>
      </c>
      <c r="S101" s="7">
        <v>0</v>
      </c>
      <c r="T101" s="7">
        <v>0</v>
      </c>
      <c r="U101" s="7">
        <f t="shared" si="57"/>
        <v>17.7</v>
      </c>
      <c r="V101" s="4">
        <v>1.1</v>
      </c>
      <c r="W101" s="7">
        <f t="shared" si="67"/>
        <v>3</v>
      </c>
      <c r="X101" s="4">
        <f t="shared" si="51"/>
        <v>17.5132660542331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15487.5</v>
      </c>
      <c r="AE101" s="4">
        <f t="shared" si="54"/>
        <v>852</v>
      </c>
      <c r="AF101" s="4">
        <f t="shared" si="55"/>
        <v>767</v>
      </c>
      <c r="AG101" s="4">
        <v>0.9</v>
      </c>
      <c r="AH101" s="7">
        <f t="shared" si="56"/>
        <v>767</v>
      </c>
      <c r="AI101" s="4" t="e">
        <f t="shared" si="68"/>
        <v>#DIV/0!</v>
      </c>
      <c r="AJ101" s="4" t="e">
        <f t="shared" si="58"/>
        <v>#DIV/0!</v>
      </c>
    </row>
    <row r="102" spans="1:36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0.5</v>
      </c>
      <c r="K102" s="7"/>
      <c r="L102" s="7">
        <v>480</v>
      </c>
      <c r="M102" s="7">
        <f t="shared" si="61"/>
        <v>12</v>
      </c>
      <c r="N102" s="7">
        <v>4</v>
      </c>
      <c r="O102" s="4">
        <f t="shared" si="66"/>
        <v>4.5</v>
      </c>
      <c r="P102" s="7">
        <f t="shared" ref="P102:P108" si="69">(1+$I$82+$I$95+$I$101)*(1+$I$90+$I$99)</f>
        <v>5</v>
      </c>
      <c r="Q102" s="7">
        <f>(1+$J$84+$J$94+$J$102)*(1+$J$87+$J$92)</f>
        <v>7</v>
      </c>
      <c r="R102" s="7">
        <f t="shared" si="65"/>
        <v>4</v>
      </c>
      <c r="S102" s="7">
        <v>0</v>
      </c>
      <c r="T102" s="7">
        <v>0</v>
      </c>
      <c r="U102" s="7">
        <f t="shared" si="57"/>
        <v>18.7</v>
      </c>
      <c r="V102" s="4">
        <v>1.1</v>
      </c>
      <c r="W102" s="7">
        <f t="shared" si="67"/>
        <v>3</v>
      </c>
      <c r="X102" s="4">
        <f t="shared" si="51"/>
        <v>17.5132660542331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16362.5</v>
      </c>
      <c r="AE102" s="4">
        <f t="shared" si="54"/>
        <v>900</v>
      </c>
      <c r="AF102" s="4">
        <f t="shared" si="55"/>
        <v>810</v>
      </c>
      <c r="AG102" s="4">
        <v>0.9</v>
      </c>
      <c r="AH102" s="7">
        <f t="shared" si="56"/>
        <v>810</v>
      </c>
      <c r="AI102" s="4" t="e">
        <f t="shared" si="68"/>
        <v>#DIV/0!</v>
      </c>
      <c r="AJ102" s="4" t="e">
        <f t="shared" si="58"/>
        <v>#DIV/0!</v>
      </c>
    </row>
    <row r="103" spans="1:36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>
        <v>1</v>
      </c>
      <c r="L103" s="7">
        <v>500</v>
      </c>
      <c r="M103" s="7">
        <f t="shared" si="61"/>
        <v>12</v>
      </c>
      <c r="N103" s="7">
        <v>4</v>
      </c>
      <c r="O103" s="4">
        <f t="shared" si="66"/>
        <v>4.5</v>
      </c>
      <c r="P103" s="7">
        <f t="shared" si="69"/>
        <v>5</v>
      </c>
      <c r="Q103" s="7">
        <f>(1+$J$84+$J$94+$J$102)*(1+$J$87+$J$92)</f>
        <v>7</v>
      </c>
      <c r="R103" s="7">
        <f t="shared" ref="R103:R108" si="70">(1+$K$86+$K$103)*(1+$K$89+$K$95)</f>
        <v>6</v>
      </c>
      <c r="S103" s="7">
        <v>0</v>
      </c>
      <c r="T103" s="7">
        <v>0</v>
      </c>
      <c r="U103" s="7">
        <f t="shared" si="57"/>
        <v>20.7</v>
      </c>
      <c r="V103" s="4">
        <v>1.2</v>
      </c>
      <c r="W103" s="7">
        <f t="shared" si="67"/>
        <v>3</v>
      </c>
      <c r="X103" s="4">
        <f t="shared" si="51"/>
        <v>22.7195916952855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18112.5</v>
      </c>
      <c r="AE103" s="4">
        <f t="shared" si="54"/>
        <v>543</v>
      </c>
      <c r="AF103" s="4">
        <f t="shared" si="55"/>
        <v>489</v>
      </c>
      <c r="AG103" s="4">
        <v>0.9</v>
      </c>
      <c r="AH103" s="7">
        <f t="shared" si="56"/>
        <v>489</v>
      </c>
      <c r="AI103" s="4" t="e">
        <f t="shared" si="68"/>
        <v>#DIV/0!</v>
      </c>
      <c r="AJ103" s="4" t="e">
        <f t="shared" si="58"/>
        <v>#DIV/0!</v>
      </c>
    </row>
    <row r="104" spans="1:36">
      <c r="A104" s="9">
        <v>26</v>
      </c>
      <c r="B104" s="10"/>
      <c r="C104" s="10"/>
      <c r="D104" s="9">
        <v>1</v>
      </c>
      <c r="E104" s="9"/>
      <c r="F104" s="9"/>
      <c r="G104" s="9"/>
      <c r="H104" s="4"/>
      <c r="I104" s="4"/>
      <c r="J104" s="7">
        <v>1</v>
      </c>
      <c r="K104" s="7"/>
      <c r="L104" s="7">
        <v>520</v>
      </c>
      <c r="M104" s="7">
        <f t="shared" si="61"/>
        <v>13</v>
      </c>
      <c r="N104" s="7">
        <v>4</v>
      </c>
      <c r="O104" s="4">
        <f t="shared" si="66"/>
        <v>4.5</v>
      </c>
      <c r="P104" s="7">
        <f t="shared" si="69"/>
        <v>5</v>
      </c>
      <c r="Q104" s="7">
        <f>(1+$J$84+$J$94+$J$102)*(1+$J$87+$J$92+$J$104)</f>
        <v>10.5</v>
      </c>
      <c r="R104" s="7">
        <f t="shared" si="70"/>
        <v>6</v>
      </c>
      <c r="S104" s="7">
        <v>0</v>
      </c>
      <c r="T104" s="7">
        <v>0</v>
      </c>
      <c r="U104" s="7">
        <f t="shared" si="57"/>
        <v>24.2</v>
      </c>
      <c r="V104" s="4">
        <v>1.2</v>
      </c>
      <c r="W104" s="7">
        <f t="shared" si="67"/>
        <v>3</v>
      </c>
      <c r="X104" s="4">
        <f t="shared" si="51"/>
        <v>22.7195916952855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21175</v>
      </c>
      <c r="AE104" s="4">
        <f t="shared" si="54"/>
        <v>1271</v>
      </c>
      <c r="AF104" s="4">
        <f t="shared" si="55"/>
        <v>1143</v>
      </c>
      <c r="AG104" s="4">
        <v>0.9</v>
      </c>
      <c r="AH104" s="7">
        <f t="shared" si="56"/>
        <v>1143</v>
      </c>
      <c r="AI104" s="4" t="e">
        <f t="shared" si="68"/>
        <v>#DIV/0!</v>
      </c>
      <c r="AJ104" s="4" t="e">
        <f t="shared" si="58"/>
        <v>#DIV/0!</v>
      </c>
    </row>
    <row r="105" spans="1:36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540</v>
      </c>
      <c r="M105" s="7">
        <f t="shared" si="61"/>
        <v>13</v>
      </c>
      <c r="N105" s="7">
        <v>4</v>
      </c>
      <c r="O105" s="4">
        <f t="shared" si="66"/>
        <v>4.5</v>
      </c>
      <c r="P105" s="7">
        <f t="shared" si="69"/>
        <v>5</v>
      </c>
      <c r="Q105" s="7">
        <f>(1+$J$84+$J$94+$J$102)*(1+$J$87+$J$92+$J$104)</f>
        <v>10.5</v>
      </c>
      <c r="R105" s="7">
        <f t="shared" si="70"/>
        <v>6</v>
      </c>
      <c r="S105" s="7">
        <v>0</v>
      </c>
      <c r="T105" s="7">
        <v>0</v>
      </c>
      <c r="U105" s="7">
        <f t="shared" si="57"/>
        <v>24.2</v>
      </c>
      <c r="V105" s="4">
        <v>1.2</v>
      </c>
      <c r="W105" s="7">
        <f t="shared" si="67"/>
        <v>3</v>
      </c>
      <c r="X105" s="4">
        <f t="shared" si="51"/>
        <v>22.7195916952855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21175</v>
      </c>
      <c r="AE105" s="4">
        <f t="shared" si="54"/>
        <v>1271</v>
      </c>
      <c r="AF105" s="4">
        <f t="shared" si="55"/>
        <v>1207</v>
      </c>
      <c r="AG105" s="4">
        <v>0.95</v>
      </c>
      <c r="AH105" s="7">
        <f t="shared" si="56"/>
        <v>1207</v>
      </c>
      <c r="AI105" s="4" t="e">
        <f t="shared" si="68"/>
        <v>#DIV/0!</v>
      </c>
      <c r="AJ105" s="4" t="e">
        <f t="shared" si="58"/>
        <v>#DIV/0!</v>
      </c>
    </row>
    <row r="106" spans="1:36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560</v>
      </c>
      <c r="M106" s="7">
        <f t="shared" si="61"/>
        <v>13</v>
      </c>
      <c r="N106" s="7">
        <v>4</v>
      </c>
      <c r="O106" s="4">
        <f t="shared" si="66"/>
        <v>4.5</v>
      </c>
      <c r="P106" s="7">
        <f t="shared" si="69"/>
        <v>5</v>
      </c>
      <c r="Q106" s="7">
        <f>(1+$J$84+$J$94+$J$102)*(1+$J$87+$J$92+$J$104)</f>
        <v>10.5</v>
      </c>
      <c r="R106" s="7">
        <f t="shared" si="70"/>
        <v>6</v>
      </c>
      <c r="S106" s="7">
        <v>0</v>
      </c>
      <c r="T106" s="7">
        <v>0</v>
      </c>
      <c r="U106" s="7">
        <f t="shared" si="57"/>
        <v>24.2</v>
      </c>
      <c r="V106" s="4">
        <v>1.2</v>
      </c>
      <c r="W106" s="7">
        <f t="shared" si="67"/>
        <v>3</v>
      </c>
      <c r="X106" s="4">
        <f t="shared" si="51"/>
        <v>22.7195916952855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21175</v>
      </c>
      <c r="AE106" s="4">
        <f t="shared" si="54"/>
        <v>1271</v>
      </c>
      <c r="AF106" s="4">
        <f t="shared" si="55"/>
        <v>1207</v>
      </c>
      <c r="AG106" s="4">
        <v>0.95</v>
      </c>
      <c r="AH106" s="7">
        <f t="shared" si="56"/>
        <v>1207</v>
      </c>
      <c r="AI106" s="4" t="e">
        <f t="shared" si="68"/>
        <v>#DIV/0!</v>
      </c>
      <c r="AJ106" s="4" t="e">
        <f t="shared" si="58"/>
        <v>#DIV/0!</v>
      </c>
    </row>
    <row r="107" spans="1:36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580</v>
      </c>
      <c r="M107" s="7">
        <f t="shared" si="61"/>
        <v>13</v>
      </c>
      <c r="N107" s="7">
        <v>4</v>
      </c>
      <c r="O107" s="4">
        <f t="shared" si="66"/>
        <v>4.5</v>
      </c>
      <c r="P107" s="7">
        <f t="shared" si="69"/>
        <v>5</v>
      </c>
      <c r="Q107" s="7">
        <f>(1+$J$84+$J$94+$J$102)*(1+$J$87+$J$92+$J$104)</f>
        <v>10.5</v>
      </c>
      <c r="R107" s="7">
        <f t="shared" si="70"/>
        <v>6</v>
      </c>
      <c r="S107" s="7">
        <v>0</v>
      </c>
      <c r="T107" s="7">
        <v>0</v>
      </c>
      <c r="U107" s="7">
        <f t="shared" si="57"/>
        <v>24.2</v>
      </c>
      <c r="V107" s="4">
        <v>1.2</v>
      </c>
      <c r="W107" s="7">
        <f t="shared" si="67"/>
        <v>3</v>
      </c>
      <c r="X107" s="4">
        <f t="shared" si="51"/>
        <v>22.7195916952855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21175</v>
      </c>
      <c r="AE107" s="4">
        <f t="shared" si="54"/>
        <v>1271</v>
      </c>
      <c r="AF107" s="4">
        <f t="shared" si="55"/>
        <v>1207</v>
      </c>
      <c r="AG107" s="4">
        <v>0.95</v>
      </c>
      <c r="AH107" s="7">
        <f t="shared" si="56"/>
        <v>1207</v>
      </c>
      <c r="AI107" s="4" t="e">
        <f t="shared" si="68"/>
        <v>#DIV/0!</v>
      </c>
      <c r="AJ107" s="4" t="e">
        <f t="shared" si="58"/>
        <v>#DIV/0!</v>
      </c>
    </row>
    <row r="108" spans="1:36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600</v>
      </c>
      <c r="M108" s="7">
        <f t="shared" si="61"/>
        <v>13</v>
      </c>
      <c r="N108" s="7">
        <v>4</v>
      </c>
      <c r="O108" s="4">
        <f t="shared" si="66"/>
        <v>4.5</v>
      </c>
      <c r="P108" s="7">
        <f t="shared" si="69"/>
        <v>5</v>
      </c>
      <c r="Q108" s="7">
        <f>(1+$J$84+$J$94+$J$102)*(1+$J$87+$J$92+$J$104)</f>
        <v>10.5</v>
      </c>
      <c r="R108" s="7">
        <f t="shared" si="70"/>
        <v>6</v>
      </c>
      <c r="S108" s="7">
        <v>0</v>
      </c>
      <c r="T108" s="7">
        <v>0</v>
      </c>
      <c r="U108" s="7">
        <f t="shared" si="57"/>
        <v>24.2</v>
      </c>
      <c r="V108" s="4">
        <v>1.3</v>
      </c>
      <c r="W108" s="7">
        <f t="shared" si="67"/>
        <v>3</v>
      </c>
      <c r="X108" s="4">
        <f t="shared" si="51"/>
        <v>29.4736484446727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21175</v>
      </c>
      <c r="AE108" s="4">
        <f t="shared" si="54"/>
        <v>688</v>
      </c>
      <c r="AF108" s="4">
        <f t="shared" si="55"/>
        <v>688</v>
      </c>
      <c r="AG108" s="4">
        <v>1</v>
      </c>
      <c r="AH108" s="7">
        <f t="shared" si="56"/>
        <v>688</v>
      </c>
      <c r="AI108" s="4" t="e">
        <f t="shared" si="68"/>
        <v>#DIV/0!</v>
      </c>
      <c r="AJ108" s="4" t="e">
        <f t="shared" si="58"/>
        <v>#DIV/0!</v>
      </c>
    </row>
    <row r="109" spans="15:34">
      <c r="O109" s="4"/>
      <c r="P109" s="4"/>
      <c r="AH109" s="7"/>
    </row>
    <row r="111" spans="15:16">
      <c r="O111" s="7">
        <v>400</v>
      </c>
      <c r="P111" s="7"/>
    </row>
    <row r="112" spans="2:6">
      <c r="B112" s="4" t="s">
        <v>528</v>
      </c>
      <c r="C112" s="7" t="s">
        <v>635</v>
      </c>
      <c r="D112" s="7" t="s">
        <v>136</v>
      </c>
      <c r="F112" t="s">
        <v>636</v>
      </c>
    </row>
    <row r="113" spans="1:6">
      <c r="A113" s="14">
        <v>1</v>
      </c>
      <c r="B113" s="14">
        <f>D113*$F$113</f>
        <v>10</v>
      </c>
      <c r="C113" s="7">
        <v>2</v>
      </c>
      <c r="D113" s="7">
        <v>4</v>
      </c>
      <c r="F113">
        <v>2.5</v>
      </c>
    </row>
    <row r="114" spans="1:4">
      <c r="A114" s="14">
        <v>2</v>
      </c>
      <c r="B114" s="14">
        <f t="shared" ref="B114:B125" si="71">D114*$F$113</f>
        <v>25</v>
      </c>
      <c r="C114" s="7">
        <v>3</v>
      </c>
      <c r="D114" s="7">
        <v>10</v>
      </c>
    </row>
    <row r="115" spans="1:4">
      <c r="A115" s="14">
        <v>3</v>
      </c>
      <c r="B115" s="14">
        <f t="shared" si="71"/>
        <v>45</v>
      </c>
      <c r="C115" s="7">
        <v>4</v>
      </c>
      <c r="D115" s="7">
        <v>18</v>
      </c>
    </row>
    <row r="116" spans="1:4">
      <c r="A116" s="14">
        <v>4</v>
      </c>
      <c r="B116" s="14">
        <f t="shared" si="71"/>
        <v>70</v>
      </c>
      <c r="C116" s="7">
        <v>5</v>
      </c>
      <c r="D116" s="7">
        <v>28</v>
      </c>
    </row>
    <row r="117" spans="1:4">
      <c r="A117" s="14">
        <v>5</v>
      </c>
      <c r="B117" s="14">
        <f t="shared" si="71"/>
        <v>100</v>
      </c>
      <c r="C117" s="7">
        <v>6</v>
      </c>
      <c r="D117" s="7">
        <v>40</v>
      </c>
    </row>
    <row r="118" spans="1:4">
      <c r="A118" s="14">
        <v>6</v>
      </c>
      <c r="B118" s="14">
        <f t="shared" si="71"/>
        <v>135</v>
      </c>
      <c r="C118" s="7">
        <v>7</v>
      </c>
      <c r="D118" s="7">
        <v>54</v>
      </c>
    </row>
    <row r="119" spans="1:4">
      <c r="A119" s="14">
        <v>7</v>
      </c>
      <c r="B119" s="14">
        <f t="shared" si="71"/>
        <v>175</v>
      </c>
      <c r="C119" s="7">
        <v>8</v>
      </c>
      <c r="D119" s="7">
        <v>70</v>
      </c>
    </row>
    <row r="120" spans="1:4">
      <c r="A120" s="14">
        <v>8</v>
      </c>
      <c r="B120" s="14">
        <f t="shared" si="71"/>
        <v>220</v>
      </c>
      <c r="C120" s="7">
        <v>9</v>
      </c>
      <c r="D120" s="7">
        <v>88</v>
      </c>
    </row>
    <row r="121" spans="1:4">
      <c r="A121" s="14">
        <v>9</v>
      </c>
      <c r="B121" s="14">
        <f t="shared" si="71"/>
        <v>270</v>
      </c>
      <c r="C121" s="7">
        <v>10</v>
      </c>
      <c r="D121" s="7">
        <v>108</v>
      </c>
    </row>
    <row r="122" spans="1:4">
      <c r="A122" s="14">
        <v>10</v>
      </c>
      <c r="B122" s="14">
        <f t="shared" si="71"/>
        <v>325</v>
      </c>
      <c r="C122" s="7">
        <v>11</v>
      </c>
      <c r="D122" s="7">
        <v>130</v>
      </c>
    </row>
    <row r="123" spans="1:4">
      <c r="A123" s="14">
        <v>11</v>
      </c>
      <c r="B123" s="14">
        <f t="shared" si="71"/>
        <v>385</v>
      </c>
      <c r="C123" s="7">
        <v>12</v>
      </c>
      <c r="D123" s="7">
        <v>154</v>
      </c>
    </row>
    <row r="124" spans="1:4">
      <c r="A124" s="14">
        <v>12</v>
      </c>
      <c r="B124" s="14">
        <f t="shared" si="71"/>
        <v>450</v>
      </c>
      <c r="C124" s="7">
        <v>13</v>
      </c>
      <c r="D124" s="7">
        <v>180</v>
      </c>
    </row>
    <row r="125" spans="1:4">
      <c r="A125" s="14">
        <v>13</v>
      </c>
      <c r="B125" s="14">
        <f t="shared" si="71"/>
        <v>520</v>
      </c>
      <c r="C125" s="7">
        <v>14</v>
      </c>
      <c r="D125" s="7">
        <v>208</v>
      </c>
    </row>
  </sheetData>
  <pageMargins left="0.75" right="0.75" top="1" bottom="1" header="0.5" footer="0.5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3"/>
  <sheetViews>
    <sheetView workbookViewId="0">
      <selection activeCell="E4" sqref="E4:E103"/>
    </sheetView>
  </sheetViews>
  <sheetFormatPr defaultColWidth="8.88888888888889" defaultRowHeight="13.8"/>
  <cols>
    <col min="5" max="5" width="13.8888888888889" customWidth="1"/>
  </cols>
  <sheetData>
    <row r="1" s="1" customFormat="1" ht="16.2" spans="1:13">
      <c r="A1" s="2" t="s">
        <v>0</v>
      </c>
      <c r="B1" s="2"/>
      <c r="C1" s="2"/>
      <c r="D1" s="2" t="s">
        <v>637</v>
      </c>
      <c r="E1" s="2" t="s">
        <v>638</v>
      </c>
      <c r="F1" s="2" t="s">
        <v>639</v>
      </c>
      <c r="G1" s="2" t="s">
        <v>640</v>
      </c>
      <c r="H1" s="2" t="s">
        <v>641</v>
      </c>
      <c r="I1" s="2" t="s">
        <v>642</v>
      </c>
      <c r="J1" s="5" t="s">
        <v>643</v>
      </c>
      <c r="K1" s="5" t="s">
        <v>644</v>
      </c>
      <c r="L1" s="5" t="s">
        <v>645</v>
      </c>
      <c r="M1" s="5" t="s">
        <v>646</v>
      </c>
    </row>
    <row r="2" s="1" customFormat="1" ht="16.2" spans="1:13">
      <c r="A2" s="2" t="s">
        <v>525</v>
      </c>
      <c r="B2" s="2"/>
      <c r="C2" s="2"/>
      <c r="D2" s="2" t="s">
        <v>525</v>
      </c>
      <c r="E2" s="2" t="s">
        <v>647</v>
      </c>
      <c r="F2" s="2" t="s">
        <v>647</v>
      </c>
      <c r="G2" s="2" t="s">
        <v>648</v>
      </c>
      <c r="H2" s="2" t="s">
        <v>525</v>
      </c>
      <c r="I2" s="2" t="s">
        <v>648</v>
      </c>
      <c r="J2" s="2" t="s">
        <v>525</v>
      </c>
      <c r="K2" s="2" t="s">
        <v>525</v>
      </c>
      <c r="L2" s="2" t="s">
        <v>648</v>
      </c>
      <c r="M2" s="2" t="s">
        <v>525</v>
      </c>
    </row>
    <row r="3" s="1" customFormat="1" ht="129.6" spans="1:13">
      <c r="A3" s="2" t="s">
        <v>0</v>
      </c>
      <c r="B3" s="2"/>
      <c r="C3" s="2"/>
      <c r="D3" s="3" t="s">
        <v>649</v>
      </c>
      <c r="E3" s="3" t="s">
        <v>650</v>
      </c>
      <c r="F3" s="3" t="s">
        <v>651</v>
      </c>
      <c r="G3" s="3" t="s">
        <v>652</v>
      </c>
      <c r="H3" s="3" t="s">
        <v>653</v>
      </c>
      <c r="I3" s="3" t="s">
        <v>654</v>
      </c>
      <c r="J3" s="6" t="s">
        <v>655</v>
      </c>
      <c r="K3" s="6" t="s">
        <v>656</v>
      </c>
      <c r="L3" s="6" t="s">
        <v>657</v>
      </c>
      <c r="M3" s="6" t="s">
        <v>658</v>
      </c>
    </row>
    <row r="4" spans="1:14">
      <c r="A4" s="4">
        <v>101</v>
      </c>
      <c r="B4" s="4">
        <v>1</v>
      </c>
      <c r="C4" s="4" t="s">
        <v>659</v>
      </c>
      <c r="D4" s="4">
        <v>1</v>
      </c>
      <c r="E4" s="4" t="s">
        <v>660</v>
      </c>
      <c r="G4" s="4">
        <v>1</v>
      </c>
      <c r="H4" s="4">
        <v>1</v>
      </c>
      <c r="I4" s="4">
        <v>1</v>
      </c>
      <c r="J4" s="4">
        <v>15</v>
      </c>
      <c r="K4" s="4">
        <v>25</v>
      </c>
      <c r="L4" s="4">
        <v>1</v>
      </c>
      <c r="M4" s="4">
        <v>3</v>
      </c>
      <c r="N4" t="s">
        <v>661</v>
      </c>
    </row>
    <row r="5" spans="1:14">
      <c r="A5" s="4">
        <v>102</v>
      </c>
      <c r="B5" s="4">
        <v>1</v>
      </c>
      <c r="C5" s="4" t="s">
        <v>659</v>
      </c>
      <c r="D5" s="4">
        <v>1</v>
      </c>
      <c r="E5" s="4" t="s">
        <v>660</v>
      </c>
      <c r="G5" s="4">
        <v>1</v>
      </c>
      <c r="H5" s="4">
        <v>1</v>
      </c>
      <c r="I5" s="4">
        <v>1</v>
      </c>
      <c r="J5" s="4">
        <v>15</v>
      </c>
      <c r="K5" s="4">
        <v>25</v>
      </c>
      <c r="L5" s="4">
        <v>1</v>
      </c>
      <c r="M5" s="4">
        <v>2</v>
      </c>
      <c r="N5" t="s">
        <v>661</v>
      </c>
    </row>
    <row r="6" spans="1:14">
      <c r="A6" s="4">
        <v>103</v>
      </c>
      <c r="B6" s="4">
        <v>1</v>
      </c>
      <c r="C6" s="4" t="s">
        <v>659</v>
      </c>
      <c r="D6" s="4">
        <v>1</v>
      </c>
      <c r="E6" s="4" t="s">
        <v>660</v>
      </c>
      <c r="G6" s="4">
        <v>1</v>
      </c>
      <c r="H6" s="4">
        <v>1</v>
      </c>
      <c r="I6" s="4">
        <v>1</v>
      </c>
      <c r="J6" s="4">
        <v>15</v>
      </c>
      <c r="K6" s="4">
        <v>25</v>
      </c>
      <c r="L6" s="4">
        <v>1</v>
      </c>
      <c r="M6" s="4">
        <v>1</v>
      </c>
      <c r="N6" t="s">
        <v>661</v>
      </c>
    </row>
    <row r="7" spans="1:14">
      <c r="A7" s="4">
        <v>105</v>
      </c>
      <c r="B7" s="4">
        <v>1</v>
      </c>
      <c r="C7" s="4" t="s">
        <v>662</v>
      </c>
      <c r="D7" s="4">
        <v>2</v>
      </c>
      <c r="E7" s="4" t="s">
        <v>663</v>
      </c>
      <c r="G7" s="4">
        <v>1</v>
      </c>
      <c r="H7" s="4">
        <v>1</v>
      </c>
      <c r="I7" s="4">
        <v>3</v>
      </c>
      <c r="J7" s="4">
        <v>30</v>
      </c>
      <c r="K7" s="4">
        <v>25</v>
      </c>
      <c r="L7" s="4">
        <v>1</v>
      </c>
      <c r="M7" s="4">
        <v>5</v>
      </c>
      <c r="N7" t="s">
        <v>578</v>
      </c>
    </row>
    <row r="8" spans="1:14">
      <c r="A8" s="4">
        <v>106</v>
      </c>
      <c r="B8" s="4">
        <v>1</v>
      </c>
      <c r="C8" s="4" t="s">
        <v>578</v>
      </c>
      <c r="D8" s="4">
        <v>3</v>
      </c>
      <c r="E8" s="4" t="s">
        <v>663</v>
      </c>
      <c r="G8" s="4">
        <v>1.1</v>
      </c>
      <c r="H8" s="4">
        <v>8</v>
      </c>
      <c r="I8" s="4">
        <v>10</v>
      </c>
      <c r="J8" s="4">
        <v>80</v>
      </c>
      <c r="K8" s="4">
        <v>25</v>
      </c>
      <c r="L8" s="4">
        <v>1</v>
      </c>
      <c r="M8" s="4">
        <v>10</v>
      </c>
      <c r="N8" t="s">
        <v>578</v>
      </c>
    </row>
    <row r="9" spans="1:14">
      <c r="A9" s="4">
        <f>A4+100</f>
        <v>201</v>
      </c>
      <c r="B9" s="4">
        <v>2</v>
      </c>
      <c r="C9" t="str">
        <f>C4</f>
        <v>普通怪</v>
      </c>
      <c r="D9">
        <f>D4</f>
        <v>1</v>
      </c>
      <c r="E9" t="str">
        <f>B9&amp;"_"&amp;N9</f>
        <v>2_小怪</v>
      </c>
      <c r="G9">
        <f>G4</f>
        <v>1</v>
      </c>
      <c r="H9">
        <f t="shared" ref="H9:N9" si="0">H4</f>
        <v>1</v>
      </c>
      <c r="I9">
        <f t="shared" si="0"/>
        <v>1</v>
      </c>
      <c r="J9">
        <f t="shared" si="0"/>
        <v>15</v>
      </c>
      <c r="K9">
        <f t="shared" si="0"/>
        <v>25</v>
      </c>
      <c r="L9">
        <f t="shared" si="0"/>
        <v>1</v>
      </c>
      <c r="M9">
        <f t="shared" si="0"/>
        <v>3</v>
      </c>
      <c r="N9" t="str">
        <f t="shared" si="0"/>
        <v>小怪</v>
      </c>
    </row>
    <row r="10" spans="1:14">
      <c r="A10" s="4">
        <f t="shared" ref="A10:A41" si="1">A5+100</f>
        <v>202</v>
      </c>
      <c r="B10" s="4">
        <v>2</v>
      </c>
      <c r="C10" t="str">
        <f t="shared" ref="C10:C41" si="2">C5</f>
        <v>普通怪</v>
      </c>
      <c r="D10">
        <f t="shared" ref="D10:D41" si="3">D5</f>
        <v>1</v>
      </c>
      <c r="E10" t="str">
        <f t="shared" ref="E10:E41" si="4">B10&amp;"_"&amp;N10</f>
        <v>2_小怪</v>
      </c>
      <c r="G10">
        <f t="shared" ref="G10:G41" si="5">G5</f>
        <v>1</v>
      </c>
      <c r="H10">
        <f t="shared" ref="H10:H41" si="6">H5</f>
        <v>1</v>
      </c>
      <c r="I10">
        <f t="shared" ref="I10:I41" si="7">I5</f>
        <v>1</v>
      </c>
      <c r="J10">
        <f t="shared" ref="J10:J41" si="8">J5</f>
        <v>15</v>
      </c>
      <c r="K10">
        <f t="shared" ref="K10:K41" si="9">K5</f>
        <v>25</v>
      </c>
      <c r="L10">
        <f t="shared" ref="L10:L41" si="10">L5</f>
        <v>1</v>
      </c>
      <c r="M10">
        <f t="shared" ref="M10:M41" si="11">M5</f>
        <v>2</v>
      </c>
      <c r="N10" t="str">
        <f t="shared" ref="N10:N41" si="12">N5</f>
        <v>小怪</v>
      </c>
    </row>
    <row r="11" spans="1:14">
      <c r="A11" s="4">
        <f t="shared" si="1"/>
        <v>203</v>
      </c>
      <c r="B11" s="4">
        <v>2</v>
      </c>
      <c r="C11" t="str">
        <f t="shared" si="2"/>
        <v>普通怪</v>
      </c>
      <c r="D11">
        <f t="shared" si="3"/>
        <v>1</v>
      </c>
      <c r="E11" t="str">
        <f t="shared" si="4"/>
        <v>2_小怪</v>
      </c>
      <c r="G11">
        <f t="shared" si="5"/>
        <v>1</v>
      </c>
      <c r="H11">
        <f t="shared" si="6"/>
        <v>1</v>
      </c>
      <c r="I11">
        <f t="shared" si="7"/>
        <v>1</v>
      </c>
      <c r="J11">
        <f t="shared" si="8"/>
        <v>15</v>
      </c>
      <c r="K11">
        <f t="shared" si="9"/>
        <v>25</v>
      </c>
      <c r="L11">
        <f t="shared" si="10"/>
        <v>1</v>
      </c>
      <c r="M11">
        <f t="shared" si="11"/>
        <v>1</v>
      </c>
      <c r="N11" t="str">
        <f t="shared" si="12"/>
        <v>小怪</v>
      </c>
    </row>
    <row r="12" spans="1:14">
      <c r="A12" s="4">
        <f t="shared" si="1"/>
        <v>205</v>
      </c>
      <c r="B12" s="4">
        <v>2</v>
      </c>
      <c r="C12" t="str">
        <f t="shared" si="2"/>
        <v>精英怪</v>
      </c>
      <c r="D12">
        <f t="shared" si="3"/>
        <v>2</v>
      </c>
      <c r="E12" t="str">
        <f t="shared" si="4"/>
        <v>2_BOSS</v>
      </c>
      <c r="G12">
        <f t="shared" si="5"/>
        <v>1</v>
      </c>
      <c r="H12">
        <f t="shared" si="6"/>
        <v>1</v>
      </c>
      <c r="I12">
        <f t="shared" si="7"/>
        <v>3</v>
      </c>
      <c r="J12">
        <f t="shared" si="8"/>
        <v>30</v>
      </c>
      <c r="K12">
        <f t="shared" si="9"/>
        <v>25</v>
      </c>
      <c r="L12">
        <f t="shared" si="10"/>
        <v>1</v>
      </c>
      <c r="M12">
        <f t="shared" si="11"/>
        <v>5</v>
      </c>
      <c r="N12" t="str">
        <f t="shared" si="12"/>
        <v>BOSS</v>
      </c>
    </row>
    <row r="13" spans="1:14">
      <c r="A13" s="4">
        <f t="shared" si="1"/>
        <v>206</v>
      </c>
      <c r="B13" s="4">
        <v>2</v>
      </c>
      <c r="C13" t="str">
        <f t="shared" si="2"/>
        <v>BOSS</v>
      </c>
      <c r="D13">
        <f t="shared" si="3"/>
        <v>3</v>
      </c>
      <c r="E13" t="str">
        <f t="shared" si="4"/>
        <v>2_BOSS</v>
      </c>
      <c r="G13">
        <f t="shared" si="5"/>
        <v>1.1</v>
      </c>
      <c r="H13">
        <f t="shared" si="6"/>
        <v>8</v>
      </c>
      <c r="I13">
        <f t="shared" si="7"/>
        <v>10</v>
      </c>
      <c r="J13">
        <f t="shared" si="8"/>
        <v>80</v>
      </c>
      <c r="K13">
        <f t="shared" si="9"/>
        <v>25</v>
      </c>
      <c r="L13">
        <f t="shared" si="10"/>
        <v>1</v>
      </c>
      <c r="M13">
        <f t="shared" si="11"/>
        <v>10</v>
      </c>
      <c r="N13" t="str">
        <f t="shared" si="12"/>
        <v>BOSS</v>
      </c>
    </row>
    <row r="14" spans="1:14">
      <c r="A14" s="4">
        <f t="shared" si="1"/>
        <v>301</v>
      </c>
      <c r="B14" s="4">
        <f>B9+1</f>
        <v>3</v>
      </c>
      <c r="C14" t="str">
        <f t="shared" si="2"/>
        <v>普通怪</v>
      </c>
      <c r="D14">
        <f t="shared" si="3"/>
        <v>1</v>
      </c>
      <c r="E14" t="str">
        <f t="shared" si="4"/>
        <v>3_小怪</v>
      </c>
      <c r="G14">
        <f t="shared" si="5"/>
        <v>1</v>
      </c>
      <c r="H14">
        <f t="shared" si="6"/>
        <v>1</v>
      </c>
      <c r="I14">
        <f t="shared" si="7"/>
        <v>1</v>
      </c>
      <c r="J14">
        <f t="shared" si="8"/>
        <v>15</v>
      </c>
      <c r="K14">
        <f t="shared" si="9"/>
        <v>25</v>
      </c>
      <c r="L14">
        <f t="shared" si="10"/>
        <v>1</v>
      </c>
      <c r="M14">
        <f t="shared" si="11"/>
        <v>3</v>
      </c>
      <c r="N14" t="str">
        <f t="shared" si="12"/>
        <v>小怪</v>
      </c>
    </row>
    <row r="15" spans="1:14">
      <c r="A15" s="4">
        <f t="shared" si="1"/>
        <v>302</v>
      </c>
      <c r="B15" s="4">
        <f t="shared" ref="B15:B46" si="13">B10+1</f>
        <v>3</v>
      </c>
      <c r="C15" t="str">
        <f t="shared" si="2"/>
        <v>普通怪</v>
      </c>
      <c r="D15">
        <f t="shared" si="3"/>
        <v>1</v>
      </c>
      <c r="E15" t="str">
        <f t="shared" si="4"/>
        <v>3_小怪</v>
      </c>
      <c r="G15">
        <f t="shared" si="5"/>
        <v>1</v>
      </c>
      <c r="H15">
        <f t="shared" si="6"/>
        <v>1</v>
      </c>
      <c r="I15">
        <f t="shared" si="7"/>
        <v>1</v>
      </c>
      <c r="J15">
        <f t="shared" si="8"/>
        <v>15</v>
      </c>
      <c r="K15">
        <f t="shared" si="9"/>
        <v>25</v>
      </c>
      <c r="L15">
        <f t="shared" si="10"/>
        <v>1</v>
      </c>
      <c r="M15">
        <f t="shared" si="11"/>
        <v>2</v>
      </c>
      <c r="N15" t="str">
        <f t="shared" si="12"/>
        <v>小怪</v>
      </c>
    </row>
    <row r="16" spans="1:14">
      <c r="A16" s="4">
        <f t="shared" si="1"/>
        <v>303</v>
      </c>
      <c r="B16" s="4">
        <f t="shared" si="13"/>
        <v>3</v>
      </c>
      <c r="C16" t="str">
        <f t="shared" si="2"/>
        <v>普通怪</v>
      </c>
      <c r="D16">
        <f t="shared" si="3"/>
        <v>1</v>
      </c>
      <c r="E16" t="str">
        <f t="shared" si="4"/>
        <v>3_小怪</v>
      </c>
      <c r="G16">
        <f t="shared" si="5"/>
        <v>1</v>
      </c>
      <c r="H16">
        <f t="shared" si="6"/>
        <v>1</v>
      </c>
      <c r="I16">
        <f t="shared" si="7"/>
        <v>1</v>
      </c>
      <c r="J16">
        <f t="shared" si="8"/>
        <v>15</v>
      </c>
      <c r="K16">
        <f t="shared" si="9"/>
        <v>25</v>
      </c>
      <c r="L16">
        <f t="shared" si="10"/>
        <v>1</v>
      </c>
      <c r="M16">
        <f t="shared" si="11"/>
        <v>1</v>
      </c>
      <c r="N16" t="str">
        <f t="shared" si="12"/>
        <v>小怪</v>
      </c>
    </row>
    <row r="17" spans="1:14">
      <c r="A17" s="4">
        <f t="shared" si="1"/>
        <v>305</v>
      </c>
      <c r="B17" s="4">
        <f t="shared" si="13"/>
        <v>3</v>
      </c>
      <c r="C17" t="str">
        <f t="shared" si="2"/>
        <v>精英怪</v>
      </c>
      <c r="D17">
        <f t="shared" si="3"/>
        <v>2</v>
      </c>
      <c r="E17" t="str">
        <f t="shared" si="4"/>
        <v>3_BOSS</v>
      </c>
      <c r="G17">
        <f t="shared" si="5"/>
        <v>1</v>
      </c>
      <c r="H17">
        <f t="shared" si="6"/>
        <v>1</v>
      </c>
      <c r="I17">
        <f t="shared" si="7"/>
        <v>3</v>
      </c>
      <c r="J17">
        <f t="shared" si="8"/>
        <v>30</v>
      </c>
      <c r="K17">
        <f t="shared" si="9"/>
        <v>25</v>
      </c>
      <c r="L17">
        <f t="shared" si="10"/>
        <v>1</v>
      </c>
      <c r="M17">
        <f t="shared" si="11"/>
        <v>5</v>
      </c>
      <c r="N17" t="str">
        <f t="shared" si="12"/>
        <v>BOSS</v>
      </c>
    </row>
    <row r="18" spans="1:14">
      <c r="A18" s="4">
        <f t="shared" si="1"/>
        <v>306</v>
      </c>
      <c r="B18" s="4">
        <f t="shared" si="13"/>
        <v>3</v>
      </c>
      <c r="C18" t="str">
        <f t="shared" si="2"/>
        <v>BOSS</v>
      </c>
      <c r="D18">
        <f t="shared" si="3"/>
        <v>3</v>
      </c>
      <c r="E18" t="str">
        <f t="shared" si="4"/>
        <v>3_BOSS</v>
      </c>
      <c r="G18">
        <f t="shared" si="5"/>
        <v>1.1</v>
      </c>
      <c r="H18">
        <f t="shared" si="6"/>
        <v>8</v>
      </c>
      <c r="I18">
        <f t="shared" si="7"/>
        <v>10</v>
      </c>
      <c r="J18">
        <f t="shared" si="8"/>
        <v>80</v>
      </c>
      <c r="K18">
        <f t="shared" si="9"/>
        <v>25</v>
      </c>
      <c r="L18">
        <f t="shared" si="10"/>
        <v>1</v>
      </c>
      <c r="M18">
        <f t="shared" si="11"/>
        <v>10</v>
      </c>
      <c r="N18" t="str">
        <f t="shared" si="12"/>
        <v>BOSS</v>
      </c>
    </row>
    <row r="19" spans="1:14">
      <c r="A19" s="4">
        <f t="shared" si="1"/>
        <v>401</v>
      </c>
      <c r="B19" s="4">
        <f t="shared" si="13"/>
        <v>4</v>
      </c>
      <c r="C19" t="str">
        <f t="shared" si="2"/>
        <v>普通怪</v>
      </c>
      <c r="D19">
        <f t="shared" si="3"/>
        <v>1</v>
      </c>
      <c r="E19" t="str">
        <f t="shared" si="4"/>
        <v>4_小怪</v>
      </c>
      <c r="G19">
        <f t="shared" si="5"/>
        <v>1</v>
      </c>
      <c r="H19">
        <f t="shared" si="6"/>
        <v>1</v>
      </c>
      <c r="I19">
        <f t="shared" si="7"/>
        <v>1</v>
      </c>
      <c r="J19">
        <f t="shared" si="8"/>
        <v>15</v>
      </c>
      <c r="K19">
        <f t="shared" si="9"/>
        <v>25</v>
      </c>
      <c r="L19">
        <f t="shared" si="10"/>
        <v>1</v>
      </c>
      <c r="M19">
        <f t="shared" si="11"/>
        <v>3</v>
      </c>
      <c r="N19" t="str">
        <f t="shared" si="12"/>
        <v>小怪</v>
      </c>
    </row>
    <row r="20" spans="1:14">
      <c r="A20" s="4">
        <f t="shared" si="1"/>
        <v>402</v>
      </c>
      <c r="B20" s="4">
        <f t="shared" si="13"/>
        <v>4</v>
      </c>
      <c r="C20" t="str">
        <f t="shared" si="2"/>
        <v>普通怪</v>
      </c>
      <c r="D20">
        <f t="shared" si="3"/>
        <v>1</v>
      </c>
      <c r="E20" t="str">
        <f t="shared" si="4"/>
        <v>4_小怪</v>
      </c>
      <c r="G20">
        <f t="shared" si="5"/>
        <v>1</v>
      </c>
      <c r="H20">
        <f t="shared" si="6"/>
        <v>1</v>
      </c>
      <c r="I20">
        <f t="shared" si="7"/>
        <v>1</v>
      </c>
      <c r="J20">
        <f t="shared" si="8"/>
        <v>15</v>
      </c>
      <c r="K20">
        <f t="shared" si="9"/>
        <v>25</v>
      </c>
      <c r="L20">
        <f t="shared" si="10"/>
        <v>1</v>
      </c>
      <c r="M20">
        <f t="shared" si="11"/>
        <v>2</v>
      </c>
      <c r="N20" t="str">
        <f t="shared" si="12"/>
        <v>小怪</v>
      </c>
    </row>
    <row r="21" spans="1:14">
      <c r="A21" s="4">
        <f t="shared" si="1"/>
        <v>403</v>
      </c>
      <c r="B21" s="4">
        <f t="shared" si="13"/>
        <v>4</v>
      </c>
      <c r="C21" t="str">
        <f t="shared" si="2"/>
        <v>普通怪</v>
      </c>
      <c r="D21">
        <f t="shared" si="3"/>
        <v>1</v>
      </c>
      <c r="E21" t="str">
        <f t="shared" si="4"/>
        <v>4_小怪</v>
      </c>
      <c r="G21">
        <f t="shared" si="5"/>
        <v>1</v>
      </c>
      <c r="H21">
        <f t="shared" si="6"/>
        <v>1</v>
      </c>
      <c r="I21">
        <f t="shared" si="7"/>
        <v>1</v>
      </c>
      <c r="J21">
        <f t="shared" si="8"/>
        <v>15</v>
      </c>
      <c r="K21">
        <f t="shared" si="9"/>
        <v>25</v>
      </c>
      <c r="L21">
        <f t="shared" si="10"/>
        <v>1</v>
      </c>
      <c r="M21">
        <f t="shared" si="11"/>
        <v>1</v>
      </c>
      <c r="N21" t="str">
        <f t="shared" si="12"/>
        <v>小怪</v>
      </c>
    </row>
    <row r="22" spans="1:14">
      <c r="A22" s="4">
        <f t="shared" si="1"/>
        <v>405</v>
      </c>
      <c r="B22" s="4">
        <f t="shared" si="13"/>
        <v>4</v>
      </c>
      <c r="C22" t="str">
        <f t="shared" si="2"/>
        <v>精英怪</v>
      </c>
      <c r="D22">
        <f t="shared" si="3"/>
        <v>2</v>
      </c>
      <c r="E22" t="str">
        <f t="shared" si="4"/>
        <v>4_BOSS</v>
      </c>
      <c r="G22">
        <f t="shared" si="5"/>
        <v>1</v>
      </c>
      <c r="H22">
        <f t="shared" si="6"/>
        <v>1</v>
      </c>
      <c r="I22">
        <f t="shared" si="7"/>
        <v>3</v>
      </c>
      <c r="J22">
        <f t="shared" si="8"/>
        <v>30</v>
      </c>
      <c r="K22">
        <f t="shared" si="9"/>
        <v>25</v>
      </c>
      <c r="L22">
        <f t="shared" si="10"/>
        <v>1</v>
      </c>
      <c r="M22">
        <f t="shared" si="11"/>
        <v>5</v>
      </c>
      <c r="N22" t="str">
        <f t="shared" si="12"/>
        <v>BOSS</v>
      </c>
    </row>
    <row r="23" spans="1:14">
      <c r="A23" s="4">
        <f t="shared" si="1"/>
        <v>406</v>
      </c>
      <c r="B23" s="4">
        <f t="shared" si="13"/>
        <v>4</v>
      </c>
      <c r="C23" t="str">
        <f t="shared" si="2"/>
        <v>BOSS</v>
      </c>
      <c r="D23">
        <f t="shared" si="3"/>
        <v>3</v>
      </c>
      <c r="E23" t="str">
        <f t="shared" si="4"/>
        <v>4_BOSS</v>
      </c>
      <c r="G23">
        <f t="shared" si="5"/>
        <v>1.1</v>
      </c>
      <c r="H23">
        <f t="shared" si="6"/>
        <v>8</v>
      </c>
      <c r="I23">
        <f t="shared" si="7"/>
        <v>10</v>
      </c>
      <c r="J23">
        <f t="shared" si="8"/>
        <v>80</v>
      </c>
      <c r="K23">
        <f t="shared" si="9"/>
        <v>25</v>
      </c>
      <c r="L23">
        <f t="shared" si="10"/>
        <v>1</v>
      </c>
      <c r="M23">
        <f t="shared" si="11"/>
        <v>10</v>
      </c>
      <c r="N23" t="str">
        <f t="shared" si="12"/>
        <v>BOSS</v>
      </c>
    </row>
    <row r="24" spans="1:14">
      <c r="A24" s="4">
        <f t="shared" si="1"/>
        <v>501</v>
      </c>
      <c r="B24" s="4">
        <f t="shared" si="13"/>
        <v>5</v>
      </c>
      <c r="C24" t="str">
        <f t="shared" si="2"/>
        <v>普通怪</v>
      </c>
      <c r="D24">
        <f t="shared" si="3"/>
        <v>1</v>
      </c>
      <c r="E24" t="str">
        <f t="shared" si="4"/>
        <v>5_小怪</v>
      </c>
      <c r="G24">
        <f t="shared" si="5"/>
        <v>1</v>
      </c>
      <c r="H24">
        <f t="shared" si="6"/>
        <v>1</v>
      </c>
      <c r="I24">
        <f t="shared" si="7"/>
        <v>1</v>
      </c>
      <c r="J24">
        <f t="shared" si="8"/>
        <v>15</v>
      </c>
      <c r="K24">
        <f t="shared" si="9"/>
        <v>25</v>
      </c>
      <c r="L24">
        <f t="shared" si="10"/>
        <v>1</v>
      </c>
      <c r="M24">
        <f t="shared" si="11"/>
        <v>3</v>
      </c>
      <c r="N24" t="str">
        <f t="shared" si="12"/>
        <v>小怪</v>
      </c>
    </row>
    <row r="25" spans="1:14">
      <c r="A25" s="4">
        <f t="shared" si="1"/>
        <v>502</v>
      </c>
      <c r="B25" s="4">
        <f t="shared" si="13"/>
        <v>5</v>
      </c>
      <c r="C25" t="str">
        <f t="shared" si="2"/>
        <v>普通怪</v>
      </c>
      <c r="D25">
        <f t="shared" si="3"/>
        <v>1</v>
      </c>
      <c r="E25" t="str">
        <f t="shared" si="4"/>
        <v>5_小怪</v>
      </c>
      <c r="G25">
        <f t="shared" si="5"/>
        <v>1</v>
      </c>
      <c r="H25">
        <f t="shared" si="6"/>
        <v>1</v>
      </c>
      <c r="I25">
        <f t="shared" si="7"/>
        <v>1</v>
      </c>
      <c r="J25">
        <f t="shared" si="8"/>
        <v>15</v>
      </c>
      <c r="K25">
        <f t="shared" si="9"/>
        <v>25</v>
      </c>
      <c r="L25">
        <f t="shared" si="10"/>
        <v>1</v>
      </c>
      <c r="M25">
        <f t="shared" si="11"/>
        <v>2</v>
      </c>
      <c r="N25" t="str">
        <f t="shared" si="12"/>
        <v>小怪</v>
      </c>
    </row>
    <row r="26" spans="1:14">
      <c r="A26" s="4">
        <f t="shared" si="1"/>
        <v>503</v>
      </c>
      <c r="B26" s="4">
        <f t="shared" si="13"/>
        <v>5</v>
      </c>
      <c r="C26" t="str">
        <f t="shared" si="2"/>
        <v>普通怪</v>
      </c>
      <c r="D26">
        <f t="shared" si="3"/>
        <v>1</v>
      </c>
      <c r="E26" t="str">
        <f t="shared" si="4"/>
        <v>5_小怪</v>
      </c>
      <c r="G26">
        <f t="shared" si="5"/>
        <v>1</v>
      </c>
      <c r="H26">
        <f t="shared" si="6"/>
        <v>1</v>
      </c>
      <c r="I26">
        <f t="shared" si="7"/>
        <v>1</v>
      </c>
      <c r="J26">
        <f t="shared" si="8"/>
        <v>15</v>
      </c>
      <c r="K26">
        <f t="shared" si="9"/>
        <v>25</v>
      </c>
      <c r="L26">
        <f t="shared" si="10"/>
        <v>1</v>
      </c>
      <c r="M26">
        <f t="shared" si="11"/>
        <v>1</v>
      </c>
      <c r="N26" t="str">
        <f t="shared" si="12"/>
        <v>小怪</v>
      </c>
    </row>
    <row r="27" spans="1:14">
      <c r="A27" s="4">
        <f t="shared" si="1"/>
        <v>505</v>
      </c>
      <c r="B27" s="4">
        <f t="shared" si="13"/>
        <v>5</v>
      </c>
      <c r="C27" t="str">
        <f t="shared" si="2"/>
        <v>精英怪</v>
      </c>
      <c r="D27">
        <f t="shared" si="3"/>
        <v>2</v>
      </c>
      <c r="E27" t="str">
        <f t="shared" si="4"/>
        <v>5_BOSS</v>
      </c>
      <c r="G27">
        <f t="shared" si="5"/>
        <v>1</v>
      </c>
      <c r="H27">
        <f t="shared" si="6"/>
        <v>1</v>
      </c>
      <c r="I27">
        <f t="shared" si="7"/>
        <v>3</v>
      </c>
      <c r="J27">
        <f t="shared" si="8"/>
        <v>30</v>
      </c>
      <c r="K27">
        <f t="shared" si="9"/>
        <v>25</v>
      </c>
      <c r="L27">
        <f t="shared" si="10"/>
        <v>1</v>
      </c>
      <c r="M27">
        <f t="shared" si="11"/>
        <v>5</v>
      </c>
      <c r="N27" t="str">
        <f t="shared" si="12"/>
        <v>BOSS</v>
      </c>
    </row>
    <row r="28" spans="1:14">
      <c r="A28" s="4">
        <f t="shared" si="1"/>
        <v>506</v>
      </c>
      <c r="B28" s="4">
        <f t="shared" si="13"/>
        <v>5</v>
      </c>
      <c r="C28" t="str">
        <f t="shared" si="2"/>
        <v>BOSS</v>
      </c>
      <c r="D28">
        <f t="shared" si="3"/>
        <v>3</v>
      </c>
      <c r="E28" t="str">
        <f t="shared" si="4"/>
        <v>5_BOSS</v>
      </c>
      <c r="G28">
        <f t="shared" si="5"/>
        <v>1.1</v>
      </c>
      <c r="H28">
        <f t="shared" si="6"/>
        <v>8</v>
      </c>
      <c r="I28">
        <f t="shared" si="7"/>
        <v>10</v>
      </c>
      <c r="J28">
        <f t="shared" si="8"/>
        <v>80</v>
      </c>
      <c r="K28">
        <f t="shared" si="9"/>
        <v>25</v>
      </c>
      <c r="L28">
        <f t="shared" si="10"/>
        <v>1</v>
      </c>
      <c r="M28">
        <f t="shared" si="11"/>
        <v>10</v>
      </c>
      <c r="N28" t="str">
        <f t="shared" si="12"/>
        <v>BOSS</v>
      </c>
    </row>
    <row r="29" spans="1:14">
      <c r="A29" s="4">
        <f t="shared" si="1"/>
        <v>601</v>
      </c>
      <c r="B29" s="4">
        <f t="shared" si="13"/>
        <v>6</v>
      </c>
      <c r="C29" t="str">
        <f t="shared" si="2"/>
        <v>普通怪</v>
      </c>
      <c r="D29">
        <f t="shared" si="3"/>
        <v>1</v>
      </c>
      <c r="E29" t="str">
        <f t="shared" si="4"/>
        <v>6_小怪</v>
      </c>
      <c r="G29">
        <f t="shared" si="5"/>
        <v>1</v>
      </c>
      <c r="H29">
        <f t="shared" si="6"/>
        <v>1</v>
      </c>
      <c r="I29">
        <f t="shared" si="7"/>
        <v>1</v>
      </c>
      <c r="J29">
        <f t="shared" si="8"/>
        <v>15</v>
      </c>
      <c r="K29">
        <f t="shared" si="9"/>
        <v>25</v>
      </c>
      <c r="L29">
        <f t="shared" si="10"/>
        <v>1</v>
      </c>
      <c r="M29">
        <f t="shared" si="11"/>
        <v>3</v>
      </c>
      <c r="N29" t="str">
        <f t="shared" si="12"/>
        <v>小怪</v>
      </c>
    </row>
    <row r="30" spans="1:14">
      <c r="A30" s="4">
        <f t="shared" si="1"/>
        <v>602</v>
      </c>
      <c r="B30" s="4">
        <f t="shared" si="13"/>
        <v>6</v>
      </c>
      <c r="C30" t="str">
        <f t="shared" si="2"/>
        <v>普通怪</v>
      </c>
      <c r="D30">
        <f t="shared" si="3"/>
        <v>1</v>
      </c>
      <c r="E30" t="str">
        <f t="shared" si="4"/>
        <v>6_小怪</v>
      </c>
      <c r="G30">
        <f t="shared" si="5"/>
        <v>1</v>
      </c>
      <c r="H30">
        <f t="shared" si="6"/>
        <v>1</v>
      </c>
      <c r="I30">
        <f t="shared" si="7"/>
        <v>1</v>
      </c>
      <c r="J30">
        <f t="shared" si="8"/>
        <v>15</v>
      </c>
      <c r="K30">
        <f t="shared" si="9"/>
        <v>25</v>
      </c>
      <c r="L30">
        <f t="shared" si="10"/>
        <v>1</v>
      </c>
      <c r="M30">
        <f t="shared" si="11"/>
        <v>2</v>
      </c>
      <c r="N30" t="str">
        <f t="shared" si="12"/>
        <v>小怪</v>
      </c>
    </row>
    <row r="31" spans="1:14">
      <c r="A31" s="4">
        <f t="shared" si="1"/>
        <v>603</v>
      </c>
      <c r="B31" s="4">
        <f t="shared" si="13"/>
        <v>6</v>
      </c>
      <c r="C31" t="str">
        <f t="shared" si="2"/>
        <v>普通怪</v>
      </c>
      <c r="D31">
        <f t="shared" si="3"/>
        <v>1</v>
      </c>
      <c r="E31" t="str">
        <f t="shared" si="4"/>
        <v>6_小怪</v>
      </c>
      <c r="G31">
        <f t="shared" si="5"/>
        <v>1</v>
      </c>
      <c r="H31">
        <f t="shared" si="6"/>
        <v>1</v>
      </c>
      <c r="I31">
        <f t="shared" si="7"/>
        <v>1</v>
      </c>
      <c r="J31">
        <f t="shared" si="8"/>
        <v>15</v>
      </c>
      <c r="K31">
        <f t="shared" si="9"/>
        <v>25</v>
      </c>
      <c r="L31">
        <f t="shared" si="10"/>
        <v>1</v>
      </c>
      <c r="M31">
        <f t="shared" si="11"/>
        <v>1</v>
      </c>
      <c r="N31" t="str">
        <f t="shared" si="12"/>
        <v>小怪</v>
      </c>
    </row>
    <row r="32" spans="1:14">
      <c r="A32" s="4">
        <f t="shared" si="1"/>
        <v>605</v>
      </c>
      <c r="B32" s="4">
        <f t="shared" si="13"/>
        <v>6</v>
      </c>
      <c r="C32" t="str">
        <f t="shared" si="2"/>
        <v>精英怪</v>
      </c>
      <c r="D32">
        <f t="shared" si="3"/>
        <v>2</v>
      </c>
      <c r="E32" t="str">
        <f t="shared" si="4"/>
        <v>6_BOSS</v>
      </c>
      <c r="G32">
        <f t="shared" si="5"/>
        <v>1</v>
      </c>
      <c r="H32">
        <f t="shared" si="6"/>
        <v>1</v>
      </c>
      <c r="I32">
        <f t="shared" si="7"/>
        <v>3</v>
      </c>
      <c r="J32">
        <f t="shared" si="8"/>
        <v>30</v>
      </c>
      <c r="K32">
        <f t="shared" si="9"/>
        <v>25</v>
      </c>
      <c r="L32">
        <f t="shared" si="10"/>
        <v>1</v>
      </c>
      <c r="M32">
        <f t="shared" si="11"/>
        <v>5</v>
      </c>
      <c r="N32" t="str">
        <f t="shared" si="12"/>
        <v>BOSS</v>
      </c>
    </row>
    <row r="33" spans="1:14">
      <c r="A33" s="4">
        <f t="shared" si="1"/>
        <v>606</v>
      </c>
      <c r="B33" s="4">
        <f t="shared" si="13"/>
        <v>6</v>
      </c>
      <c r="C33" t="str">
        <f t="shared" si="2"/>
        <v>BOSS</v>
      </c>
      <c r="D33">
        <f t="shared" si="3"/>
        <v>3</v>
      </c>
      <c r="E33" t="str">
        <f t="shared" si="4"/>
        <v>6_BOSS</v>
      </c>
      <c r="G33">
        <f t="shared" si="5"/>
        <v>1.1</v>
      </c>
      <c r="H33">
        <f t="shared" si="6"/>
        <v>8</v>
      </c>
      <c r="I33">
        <f t="shared" si="7"/>
        <v>10</v>
      </c>
      <c r="J33">
        <f t="shared" si="8"/>
        <v>80</v>
      </c>
      <c r="K33">
        <f t="shared" si="9"/>
        <v>25</v>
      </c>
      <c r="L33">
        <f t="shared" si="10"/>
        <v>1</v>
      </c>
      <c r="M33">
        <f t="shared" si="11"/>
        <v>10</v>
      </c>
      <c r="N33" t="str">
        <f t="shared" si="12"/>
        <v>BOSS</v>
      </c>
    </row>
    <row r="34" spans="1:14">
      <c r="A34" s="4">
        <f t="shared" si="1"/>
        <v>701</v>
      </c>
      <c r="B34" s="4">
        <f t="shared" si="13"/>
        <v>7</v>
      </c>
      <c r="C34" t="str">
        <f t="shared" si="2"/>
        <v>普通怪</v>
      </c>
      <c r="D34">
        <f t="shared" si="3"/>
        <v>1</v>
      </c>
      <c r="E34" t="str">
        <f t="shared" si="4"/>
        <v>7_小怪</v>
      </c>
      <c r="G34">
        <f t="shared" si="5"/>
        <v>1</v>
      </c>
      <c r="H34">
        <f t="shared" si="6"/>
        <v>1</v>
      </c>
      <c r="I34">
        <f t="shared" si="7"/>
        <v>1</v>
      </c>
      <c r="J34">
        <f t="shared" si="8"/>
        <v>15</v>
      </c>
      <c r="K34">
        <f t="shared" si="9"/>
        <v>25</v>
      </c>
      <c r="L34">
        <f t="shared" si="10"/>
        <v>1</v>
      </c>
      <c r="M34">
        <f t="shared" si="11"/>
        <v>3</v>
      </c>
      <c r="N34" t="str">
        <f t="shared" si="12"/>
        <v>小怪</v>
      </c>
    </row>
    <row r="35" spans="1:14">
      <c r="A35" s="4">
        <f t="shared" si="1"/>
        <v>702</v>
      </c>
      <c r="B35" s="4">
        <f t="shared" si="13"/>
        <v>7</v>
      </c>
      <c r="C35" t="str">
        <f t="shared" si="2"/>
        <v>普通怪</v>
      </c>
      <c r="D35">
        <f t="shared" si="3"/>
        <v>1</v>
      </c>
      <c r="E35" t="str">
        <f t="shared" si="4"/>
        <v>7_小怪</v>
      </c>
      <c r="G35">
        <f t="shared" si="5"/>
        <v>1</v>
      </c>
      <c r="H35">
        <f t="shared" si="6"/>
        <v>1</v>
      </c>
      <c r="I35">
        <f t="shared" si="7"/>
        <v>1</v>
      </c>
      <c r="J35">
        <f t="shared" si="8"/>
        <v>15</v>
      </c>
      <c r="K35">
        <f t="shared" si="9"/>
        <v>25</v>
      </c>
      <c r="L35">
        <f t="shared" si="10"/>
        <v>1</v>
      </c>
      <c r="M35">
        <f t="shared" si="11"/>
        <v>2</v>
      </c>
      <c r="N35" t="str">
        <f t="shared" si="12"/>
        <v>小怪</v>
      </c>
    </row>
    <row r="36" spans="1:14">
      <c r="A36" s="4">
        <f t="shared" si="1"/>
        <v>703</v>
      </c>
      <c r="B36" s="4">
        <f t="shared" si="13"/>
        <v>7</v>
      </c>
      <c r="C36" t="str">
        <f t="shared" si="2"/>
        <v>普通怪</v>
      </c>
      <c r="D36">
        <f t="shared" si="3"/>
        <v>1</v>
      </c>
      <c r="E36" t="str">
        <f t="shared" si="4"/>
        <v>7_小怪</v>
      </c>
      <c r="G36">
        <f t="shared" si="5"/>
        <v>1</v>
      </c>
      <c r="H36">
        <f t="shared" si="6"/>
        <v>1</v>
      </c>
      <c r="I36">
        <f t="shared" si="7"/>
        <v>1</v>
      </c>
      <c r="J36">
        <f t="shared" si="8"/>
        <v>15</v>
      </c>
      <c r="K36">
        <f t="shared" si="9"/>
        <v>25</v>
      </c>
      <c r="L36">
        <f t="shared" si="10"/>
        <v>1</v>
      </c>
      <c r="M36">
        <f t="shared" si="11"/>
        <v>1</v>
      </c>
      <c r="N36" t="str">
        <f t="shared" si="12"/>
        <v>小怪</v>
      </c>
    </row>
    <row r="37" spans="1:14">
      <c r="A37" s="4">
        <f t="shared" si="1"/>
        <v>705</v>
      </c>
      <c r="B37" s="4">
        <f t="shared" si="13"/>
        <v>7</v>
      </c>
      <c r="C37" t="str">
        <f t="shared" si="2"/>
        <v>精英怪</v>
      </c>
      <c r="D37">
        <f t="shared" si="3"/>
        <v>2</v>
      </c>
      <c r="E37" t="str">
        <f t="shared" si="4"/>
        <v>7_BOSS</v>
      </c>
      <c r="G37">
        <f t="shared" si="5"/>
        <v>1</v>
      </c>
      <c r="H37">
        <f t="shared" si="6"/>
        <v>1</v>
      </c>
      <c r="I37">
        <f t="shared" si="7"/>
        <v>3</v>
      </c>
      <c r="J37">
        <f t="shared" si="8"/>
        <v>30</v>
      </c>
      <c r="K37">
        <f t="shared" si="9"/>
        <v>25</v>
      </c>
      <c r="L37">
        <f t="shared" si="10"/>
        <v>1</v>
      </c>
      <c r="M37">
        <f t="shared" si="11"/>
        <v>5</v>
      </c>
      <c r="N37" t="str">
        <f t="shared" si="12"/>
        <v>BOSS</v>
      </c>
    </row>
    <row r="38" spans="1:14">
      <c r="A38" s="4">
        <f t="shared" si="1"/>
        <v>706</v>
      </c>
      <c r="B38" s="4">
        <f t="shared" si="13"/>
        <v>7</v>
      </c>
      <c r="C38" t="str">
        <f t="shared" si="2"/>
        <v>BOSS</v>
      </c>
      <c r="D38">
        <f t="shared" si="3"/>
        <v>3</v>
      </c>
      <c r="E38" t="str">
        <f t="shared" si="4"/>
        <v>7_BOSS</v>
      </c>
      <c r="G38">
        <f t="shared" si="5"/>
        <v>1.1</v>
      </c>
      <c r="H38">
        <f t="shared" si="6"/>
        <v>8</v>
      </c>
      <c r="I38">
        <f t="shared" si="7"/>
        <v>10</v>
      </c>
      <c r="J38">
        <f t="shared" si="8"/>
        <v>80</v>
      </c>
      <c r="K38">
        <f t="shared" si="9"/>
        <v>25</v>
      </c>
      <c r="L38">
        <f t="shared" si="10"/>
        <v>1</v>
      </c>
      <c r="M38">
        <f t="shared" si="11"/>
        <v>10</v>
      </c>
      <c r="N38" t="str">
        <f t="shared" si="12"/>
        <v>BOSS</v>
      </c>
    </row>
    <row r="39" spans="1:14">
      <c r="A39" s="4">
        <f t="shared" si="1"/>
        <v>801</v>
      </c>
      <c r="B39" s="4">
        <f t="shared" si="13"/>
        <v>8</v>
      </c>
      <c r="C39" t="str">
        <f t="shared" si="2"/>
        <v>普通怪</v>
      </c>
      <c r="D39">
        <f t="shared" si="3"/>
        <v>1</v>
      </c>
      <c r="E39" t="str">
        <f t="shared" si="4"/>
        <v>8_小怪</v>
      </c>
      <c r="G39">
        <f t="shared" si="5"/>
        <v>1</v>
      </c>
      <c r="H39">
        <f t="shared" si="6"/>
        <v>1</v>
      </c>
      <c r="I39">
        <f t="shared" si="7"/>
        <v>1</v>
      </c>
      <c r="J39">
        <f t="shared" si="8"/>
        <v>15</v>
      </c>
      <c r="K39">
        <f t="shared" si="9"/>
        <v>25</v>
      </c>
      <c r="L39">
        <f t="shared" si="10"/>
        <v>1</v>
      </c>
      <c r="M39">
        <f t="shared" si="11"/>
        <v>3</v>
      </c>
      <c r="N39" t="str">
        <f t="shared" si="12"/>
        <v>小怪</v>
      </c>
    </row>
    <row r="40" spans="1:14">
      <c r="A40" s="4">
        <f t="shared" si="1"/>
        <v>802</v>
      </c>
      <c r="B40" s="4">
        <f t="shared" si="13"/>
        <v>8</v>
      </c>
      <c r="C40" t="str">
        <f t="shared" si="2"/>
        <v>普通怪</v>
      </c>
      <c r="D40">
        <f t="shared" si="3"/>
        <v>1</v>
      </c>
      <c r="E40" t="str">
        <f t="shared" si="4"/>
        <v>8_小怪</v>
      </c>
      <c r="G40">
        <f t="shared" si="5"/>
        <v>1</v>
      </c>
      <c r="H40">
        <f t="shared" si="6"/>
        <v>1</v>
      </c>
      <c r="I40">
        <f t="shared" si="7"/>
        <v>1</v>
      </c>
      <c r="J40">
        <f t="shared" si="8"/>
        <v>15</v>
      </c>
      <c r="K40">
        <f t="shared" si="9"/>
        <v>25</v>
      </c>
      <c r="L40">
        <f t="shared" si="10"/>
        <v>1</v>
      </c>
      <c r="M40">
        <f t="shared" si="11"/>
        <v>2</v>
      </c>
      <c r="N40" t="str">
        <f t="shared" si="12"/>
        <v>小怪</v>
      </c>
    </row>
    <row r="41" spans="1:14">
      <c r="A41" s="4">
        <f t="shared" si="1"/>
        <v>803</v>
      </c>
      <c r="B41" s="4">
        <f t="shared" si="13"/>
        <v>8</v>
      </c>
      <c r="C41" t="str">
        <f t="shared" si="2"/>
        <v>普通怪</v>
      </c>
      <c r="D41">
        <f t="shared" si="3"/>
        <v>1</v>
      </c>
      <c r="E41" t="str">
        <f t="shared" si="4"/>
        <v>8_小怪</v>
      </c>
      <c r="G41">
        <f t="shared" si="5"/>
        <v>1</v>
      </c>
      <c r="H41">
        <f t="shared" si="6"/>
        <v>1</v>
      </c>
      <c r="I41">
        <f t="shared" si="7"/>
        <v>1</v>
      </c>
      <c r="J41">
        <f t="shared" si="8"/>
        <v>15</v>
      </c>
      <c r="K41">
        <f t="shared" si="9"/>
        <v>25</v>
      </c>
      <c r="L41">
        <f t="shared" si="10"/>
        <v>1</v>
      </c>
      <c r="M41">
        <f t="shared" si="11"/>
        <v>1</v>
      </c>
      <c r="N41" t="str">
        <f t="shared" si="12"/>
        <v>小怪</v>
      </c>
    </row>
    <row r="42" spans="1:14">
      <c r="A42" s="4">
        <f t="shared" ref="A42:A63" si="14">A37+100</f>
        <v>805</v>
      </c>
      <c r="B42" s="4">
        <f t="shared" si="13"/>
        <v>8</v>
      </c>
      <c r="C42" t="str">
        <f t="shared" ref="C42:C73" si="15">C37</f>
        <v>精英怪</v>
      </c>
      <c r="D42">
        <f t="shared" ref="D42:D73" si="16">D37</f>
        <v>2</v>
      </c>
      <c r="E42" t="str">
        <f t="shared" ref="E42:E73" si="17">B42&amp;"_"&amp;N42</f>
        <v>8_BOSS</v>
      </c>
      <c r="G42">
        <f t="shared" ref="G42:G73" si="18">G37</f>
        <v>1</v>
      </c>
      <c r="H42">
        <f t="shared" ref="H42:H73" si="19">H37</f>
        <v>1</v>
      </c>
      <c r="I42">
        <f t="shared" ref="I42:I73" si="20">I37</f>
        <v>3</v>
      </c>
      <c r="J42">
        <f t="shared" ref="J42:J73" si="21">J37</f>
        <v>30</v>
      </c>
      <c r="K42">
        <f t="shared" ref="K42:K73" si="22">K37</f>
        <v>25</v>
      </c>
      <c r="L42">
        <f t="shared" ref="L42:L73" si="23">L37</f>
        <v>1</v>
      </c>
      <c r="M42">
        <f t="shared" ref="M42:M73" si="24">M37</f>
        <v>5</v>
      </c>
      <c r="N42" t="str">
        <f t="shared" ref="N42:N73" si="25">N37</f>
        <v>BOSS</v>
      </c>
    </row>
    <row r="43" spans="1:14">
      <c r="A43" s="4">
        <f t="shared" si="14"/>
        <v>806</v>
      </c>
      <c r="B43" s="4">
        <f t="shared" si="13"/>
        <v>8</v>
      </c>
      <c r="C43" t="str">
        <f t="shared" si="15"/>
        <v>BOSS</v>
      </c>
      <c r="D43">
        <f t="shared" si="16"/>
        <v>3</v>
      </c>
      <c r="E43" t="str">
        <f t="shared" si="17"/>
        <v>8_BOSS</v>
      </c>
      <c r="G43">
        <f t="shared" si="18"/>
        <v>1.1</v>
      </c>
      <c r="H43">
        <f t="shared" si="19"/>
        <v>8</v>
      </c>
      <c r="I43">
        <f t="shared" si="20"/>
        <v>10</v>
      </c>
      <c r="J43">
        <f t="shared" si="21"/>
        <v>80</v>
      </c>
      <c r="K43">
        <f t="shared" si="22"/>
        <v>25</v>
      </c>
      <c r="L43">
        <f t="shared" si="23"/>
        <v>1</v>
      </c>
      <c r="M43">
        <f t="shared" si="24"/>
        <v>10</v>
      </c>
      <c r="N43" t="str">
        <f t="shared" si="25"/>
        <v>BOSS</v>
      </c>
    </row>
    <row r="44" spans="1:14">
      <c r="A44" s="4">
        <f t="shared" si="14"/>
        <v>901</v>
      </c>
      <c r="B44" s="4">
        <f t="shared" si="13"/>
        <v>9</v>
      </c>
      <c r="C44" t="str">
        <f t="shared" si="15"/>
        <v>普通怪</v>
      </c>
      <c r="D44">
        <f t="shared" si="16"/>
        <v>1</v>
      </c>
      <c r="E44" t="str">
        <f t="shared" si="17"/>
        <v>9_小怪</v>
      </c>
      <c r="G44">
        <f t="shared" si="18"/>
        <v>1</v>
      </c>
      <c r="H44">
        <f t="shared" si="19"/>
        <v>1</v>
      </c>
      <c r="I44">
        <f t="shared" si="20"/>
        <v>1</v>
      </c>
      <c r="J44">
        <f t="shared" si="21"/>
        <v>15</v>
      </c>
      <c r="K44">
        <f t="shared" si="22"/>
        <v>25</v>
      </c>
      <c r="L44">
        <f t="shared" si="23"/>
        <v>1</v>
      </c>
      <c r="M44">
        <f t="shared" si="24"/>
        <v>3</v>
      </c>
      <c r="N44" t="str">
        <f t="shared" si="25"/>
        <v>小怪</v>
      </c>
    </row>
    <row r="45" spans="1:14">
      <c r="A45" s="4">
        <f t="shared" si="14"/>
        <v>902</v>
      </c>
      <c r="B45" s="4">
        <f t="shared" si="13"/>
        <v>9</v>
      </c>
      <c r="C45" t="str">
        <f t="shared" si="15"/>
        <v>普通怪</v>
      </c>
      <c r="D45">
        <f t="shared" si="16"/>
        <v>1</v>
      </c>
      <c r="E45" t="str">
        <f t="shared" si="17"/>
        <v>9_小怪</v>
      </c>
      <c r="G45">
        <f t="shared" si="18"/>
        <v>1</v>
      </c>
      <c r="H45">
        <f t="shared" si="19"/>
        <v>1</v>
      </c>
      <c r="I45">
        <f t="shared" si="20"/>
        <v>1</v>
      </c>
      <c r="J45">
        <f t="shared" si="21"/>
        <v>15</v>
      </c>
      <c r="K45">
        <f t="shared" si="22"/>
        <v>25</v>
      </c>
      <c r="L45">
        <f t="shared" si="23"/>
        <v>1</v>
      </c>
      <c r="M45">
        <f t="shared" si="24"/>
        <v>2</v>
      </c>
      <c r="N45" t="str">
        <f t="shared" si="25"/>
        <v>小怪</v>
      </c>
    </row>
    <row r="46" spans="1:14">
      <c r="A46" s="4">
        <f t="shared" si="14"/>
        <v>903</v>
      </c>
      <c r="B46" s="4">
        <f t="shared" si="13"/>
        <v>9</v>
      </c>
      <c r="C46" t="str">
        <f t="shared" si="15"/>
        <v>普通怪</v>
      </c>
      <c r="D46">
        <f t="shared" si="16"/>
        <v>1</v>
      </c>
      <c r="E46" t="str">
        <f t="shared" si="17"/>
        <v>9_小怪</v>
      </c>
      <c r="G46">
        <f t="shared" si="18"/>
        <v>1</v>
      </c>
      <c r="H46">
        <f t="shared" si="19"/>
        <v>1</v>
      </c>
      <c r="I46">
        <f t="shared" si="20"/>
        <v>1</v>
      </c>
      <c r="J46">
        <f t="shared" si="21"/>
        <v>15</v>
      </c>
      <c r="K46">
        <f t="shared" si="22"/>
        <v>25</v>
      </c>
      <c r="L46">
        <f t="shared" si="23"/>
        <v>1</v>
      </c>
      <c r="M46">
        <f t="shared" si="24"/>
        <v>1</v>
      </c>
      <c r="N46" t="str">
        <f t="shared" si="25"/>
        <v>小怪</v>
      </c>
    </row>
    <row r="47" spans="1:14">
      <c r="A47" s="4">
        <f t="shared" si="14"/>
        <v>905</v>
      </c>
      <c r="B47" s="4">
        <f t="shared" ref="B47:B78" si="26">B42+1</f>
        <v>9</v>
      </c>
      <c r="C47" t="str">
        <f t="shared" si="15"/>
        <v>精英怪</v>
      </c>
      <c r="D47">
        <f t="shared" si="16"/>
        <v>2</v>
      </c>
      <c r="E47" t="str">
        <f t="shared" si="17"/>
        <v>9_BOSS</v>
      </c>
      <c r="G47">
        <f t="shared" si="18"/>
        <v>1</v>
      </c>
      <c r="H47">
        <f t="shared" si="19"/>
        <v>1</v>
      </c>
      <c r="I47">
        <f t="shared" si="20"/>
        <v>3</v>
      </c>
      <c r="J47">
        <f t="shared" si="21"/>
        <v>30</v>
      </c>
      <c r="K47">
        <f t="shared" si="22"/>
        <v>25</v>
      </c>
      <c r="L47">
        <f t="shared" si="23"/>
        <v>1</v>
      </c>
      <c r="M47">
        <f t="shared" si="24"/>
        <v>5</v>
      </c>
      <c r="N47" t="str">
        <f t="shared" si="25"/>
        <v>BOSS</v>
      </c>
    </row>
    <row r="48" spans="1:14">
      <c r="A48" s="4">
        <f t="shared" si="14"/>
        <v>906</v>
      </c>
      <c r="B48" s="4">
        <f t="shared" si="26"/>
        <v>9</v>
      </c>
      <c r="C48" t="str">
        <f t="shared" si="15"/>
        <v>BOSS</v>
      </c>
      <c r="D48">
        <f t="shared" si="16"/>
        <v>3</v>
      </c>
      <c r="E48" t="str">
        <f t="shared" si="17"/>
        <v>9_BOSS</v>
      </c>
      <c r="G48">
        <f t="shared" si="18"/>
        <v>1.1</v>
      </c>
      <c r="H48">
        <f t="shared" si="19"/>
        <v>8</v>
      </c>
      <c r="I48">
        <f t="shared" si="20"/>
        <v>10</v>
      </c>
      <c r="J48">
        <f t="shared" si="21"/>
        <v>80</v>
      </c>
      <c r="K48">
        <f t="shared" si="22"/>
        <v>25</v>
      </c>
      <c r="L48">
        <f t="shared" si="23"/>
        <v>1</v>
      </c>
      <c r="M48">
        <f t="shared" si="24"/>
        <v>10</v>
      </c>
      <c r="N48" t="str">
        <f t="shared" si="25"/>
        <v>BOSS</v>
      </c>
    </row>
    <row r="49" spans="1:14">
      <c r="A49" s="4">
        <f t="shared" si="14"/>
        <v>1001</v>
      </c>
      <c r="B49" s="4">
        <f t="shared" si="26"/>
        <v>10</v>
      </c>
      <c r="C49" t="str">
        <f t="shared" si="15"/>
        <v>普通怪</v>
      </c>
      <c r="D49">
        <f t="shared" si="16"/>
        <v>1</v>
      </c>
      <c r="E49" t="str">
        <f t="shared" si="17"/>
        <v>10_小怪</v>
      </c>
      <c r="G49">
        <f t="shared" si="18"/>
        <v>1</v>
      </c>
      <c r="H49">
        <f t="shared" si="19"/>
        <v>1</v>
      </c>
      <c r="I49">
        <f t="shared" si="20"/>
        <v>1</v>
      </c>
      <c r="J49">
        <f t="shared" si="21"/>
        <v>15</v>
      </c>
      <c r="K49">
        <f t="shared" si="22"/>
        <v>25</v>
      </c>
      <c r="L49">
        <f t="shared" si="23"/>
        <v>1</v>
      </c>
      <c r="M49">
        <f t="shared" si="24"/>
        <v>3</v>
      </c>
      <c r="N49" t="str">
        <f t="shared" si="25"/>
        <v>小怪</v>
      </c>
    </row>
    <row r="50" spans="1:14">
      <c r="A50" s="4">
        <f t="shared" si="14"/>
        <v>1002</v>
      </c>
      <c r="B50" s="4">
        <f t="shared" si="26"/>
        <v>10</v>
      </c>
      <c r="C50" t="str">
        <f t="shared" si="15"/>
        <v>普通怪</v>
      </c>
      <c r="D50">
        <f t="shared" si="16"/>
        <v>1</v>
      </c>
      <c r="E50" t="str">
        <f t="shared" si="17"/>
        <v>10_小怪</v>
      </c>
      <c r="G50">
        <f t="shared" si="18"/>
        <v>1</v>
      </c>
      <c r="H50">
        <f t="shared" si="19"/>
        <v>1</v>
      </c>
      <c r="I50">
        <f t="shared" si="20"/>
        <v>1</v>
      </c>
      <c r="J50">
        <f t="shared" si="21"/>
        <v>15</v>
      </c>
      <c r="K50">
        <f t="shared" si="22"/>
        <v>25</v>
      </c>
      <c r="L50">
        <f t="shared" si="23"/>
        <v>1</v>
      </c>
      <c r="M50">
        <f t="shared" si="24"/>
        <v>2</v>
      </c>
      <c r="N50" t="str">
        <f t="shared" si="25"/>
        <v>小怪</v>
      </c>
    </row>
    <row r="51" spans="1:14">
      <c r="A51" s="4">
        <f t="shared" si="14"/>
        <v>1003</v>
      </c>
      <c r="B51" s="4">
        <f t="shared" si="26"/>
        <v>10</v>
      </c>
      <c r="C51" t="str">
        <f t="shared" si="15"/>
        <v>普通怪</v>
      </c>
      <c r="D51">
        <f t="shared" si="16"/>
        <v>1</v>
      </c>
      <c r="E51" t="str">
        <f t="shared" si="17"/>
        <v>10_小怪</v>
      </c>
      <c r="G51">
        <f t="shared" si="18"/>
        <v>1</v>
      </c>
      <c r="H51">
        <f t="shared" si="19"/>
        <v>1</v>
      </c>
      <c r="I51">
        <f t="shared" si="20"/>
        <v>1</v>
      </c>
      <c r="J51">
        <f t="shared" si="21"/>
        <v>15</v>
      </c>
      <c r="K51">
        <f t="shared" si="22"/>
        <v>25</v>
      </c>
      <c r="L51">
        <f t="shared" si="23"/>
        <v>1</v>
      </c>
      <c r="M51">
        <f t="shared" si="24"/>
        <v>1</v>
      </c>
      <c r="N51" t="str">
        <f t="shared" si="25"/>
        <v>小怪</v>
      </c>
    </row>
    <row r="52" spans="1:14">
      <c r="A52" s="4">
        <f t="shared" si="14"/>
        <v>1005</v>
      </c>
      <c r="B52" s="4">
        <f t="shared" si="26"/>
        <v>10</v>
      </c>
      <c r="C52" t="str">
        <f t="shared" si="15"/>
        <v>精英怪</v>
      </c>
      <c r="D52">
        <f t="shared" si="16"/>
        <v>2</v>
      </c>
      <c r="E52" t="str">
        <f t="shared" si="17"/>
        <v>10_BOSS</v>
      </c>
      <c r="G52">
        <f t="shared" si="18"/>
        <v>1</v>
      </c>
      <c r="H52">
        <f t="shared" si="19"/>
        <v>1</v>
      </c>
      <c r="I52">
        <f t="shared" si="20"/>
        <v>3</v>
      </c>
      <c r="J52">
        <f t="shared" si="21"/>
        <v>30</v>
      </c>
      <c r="K52">
        <f t="shared" si="22"/>
        <v>25</v>
      </c>
      <c r="L52">
        <f t="shared" si="23"/>
        <v>1</v>
      </c>
      <c r="M52">
        <f t="shared" si="24"/>
        <v>5</v>
      </c>
      <c r="N52" t="str">
        <f t="shared" si="25"/>
        <v>BOSS</v>
      </c>
    </row>
    <row r="53" spans="1:14">
      <c r="A53" s="4">
        <f t="shared" si="14"/>
        <v>1006</v>
      </c>
      <c r="B53" s="4">
        <f t="shared" si="26"/>
        <v>10</v>
      </c>
      <c r="C53" t="str">
        <f t="shared" si="15"/>
        <v>BOSS</v>
      </c>
      <c r="D53">
        <f t="shared" si="16"/>
        <v>3</v>
      </c>
      <c r="E53" t="str">
        <f t="shared" si="17"/>
        <v>10_BOSS</v>
      </c>
      <c r="G53">
        <f t="shared" si="18"/>
        <v>1.1</v>
      </c>
      <c r="H53">
        <f t="shared" si="19"/>
        <v>8</v>
      </c>
      <c r="I53">
        <f t="shared" si="20"/>
        <v>10</v>
      </c>
      <c r="J53">
        <f t="shared" si="21"/>
        <v>80</v>
      </c>
      <c r="K53">
        <f t="shared" si="22"/>
        <v>25</v>
      </c>
      <c r="L53">
        <f t="shared" si="23"/>
        <v>1</v>
      </c>
      <c r="M53">
        <f t="shared" si="24"/>
        <v>10</v>
      </c>
      <c r="N53" t="str">
        <f t="shared" si="25"/>
        <v>BOSS</v>
      </c>
    </row>
    <row r="54" spans="1:14">
      <c r="A54" s="4">
        <f t="shared" si="14"/>
        <v>1101</v>
      </c>
      <c r="B54" s="4">
        <f t="shared" si="26"/>
        <v>11</v>
      </c>
      <c r="C54" t="str">
        <f t="shared" si="15"/>
        <v>普通怪</v>
      </c>
      <c r="D54">
        <f t="shared" si="16"/>
        <v>1</v>
      </c>
      <c r="E54" t="str">
        <f t="shared" si="17"/>
        <v>11_小怪</v>
      </c>
      <c r="G54">
        <f t="shared" si="18"/>
        <v>1</v>
      </c>
      <c r="H54">
        <f t="shared" si="19"/>
        <v>1</v>
      </c>
      <c r="I54">
        <f t="shared" si="20"/>
        <v>1</v>
      </c>
      <c r="J54">
        <f t="shared" si="21"/>
        <v>15</v>
      </c>
      <c r="K54">
        <f t="shared" si="22"/>
        <v>25</v>
      </c>
      <c r="L54">
        <f t="shared" si="23"/>
        <v>1</v>
      </c>
      <c r="M54">
        <f t="shared" si="24"/>
        <v>3</v>
      </c>
      <c r="N54" t="str">
        <f t="shared" si="25"/>
        <v>小怪</v>
      </c>
    </row>
    <row r="55" spans="1:14">
      <c r="A55" s="4">
        <f t="shared" si="14"/>
        <v>1102</v>
      </c>
      <c r="B55" s="4">
        <f t="shared" si="26"/>
        <v>11</v>
      </c>
      <c r="C55" t="str">
        <f t="shared" si="15"/>
        <v>普通怪</v>
      </c>
      <c r="D55">
        <f t="shared" si="16"/>
        <v>1</v>
      </c>
      <c r="E55" t="str">
        <f t="shared" si="17"/>
        <v>11_小怪</v>
      </c>
      <c r="G55">
        <f t="shared" si="18"/>
        <v>1</v>
      </c>
      <c r="H55">
        <f t="shared" si="19"/>
        <v>1</v>
      </c>
      <c r="I55">
        <f t="shared" si="20"/>
        <v>1</v>
      </c>
      <c r="J55">
        <f t="shared" si="21"/>
        <v>15</v>
      </c>
      <c r="K55">
        <f t="shared" si="22"/>
        <v>25</v>
      </c>
      <c r="L55">
        <f t="shared" si="23"/>
        <v>1</v>
      </c>
      <c r="M55">
        <f t="shared" si="24"/>
        <v>2</v>
      </c>
      <c r="N55" t="str">
        <f t="shared" si="25"/>
        <v>小怪</v>
      </c>
    </row>
    <row r="56" spans="1:14">
      <c r="A56" s="4">
        <f t="shared" si="14"/>
        <v>1103</v>
      </c>
      <c r="B56" s="4">
        <f t="shared" si="26"/>
        <v>11</v>
      </c>
      <c r="C56" t="str">
        <f t="shared" si="15"/>
        <v>普通怪</v>
      </c>
      <c r="D56">
        <f t="shared" si="16"/>
        <v>1</v>
      </c>
      <c r="E56" t="str">
        <f t="shared" si="17"/>
        <v>11_小怪</v>
      </c>
      <c r="G56">
        <f t="shared" si="18"/>
        <v>1</v>
      </c>
      <c r="H56">
        <f t="shared" si="19"/>
        <v>1</v>
      </c>
      <c r="I56">
        <f t="shared" si="20"/>
        <v>1</v>
      </c>
      <c r="J56">
        <f t="shared" si="21"/>
        <v>15</v>
      </c>
      <c r="K56">
        <f t="shared" si="22"/>
        <v>25</v>
      </c>
      <c r="L56">
        <f t="shared" si="23"/>
        <v>1</v>
      </c>
      <c r="M56">
        <f t="shared" si="24"/>
        <v>1</v>
      </c>
      <c r="N56" t="str">
        <f t="shared" si="25"/>
        <v>小怪</v>
      </c>
    </row>
    <row r="57" spans="1:14">
      <c r="A57" s="4">
        <f t="shared" si="14"/>
        <v>1105</v>
      </c>
      <c r="B57" s="4">
        <f t="shared" si="26"/>
        <v>11</v>
      </c>
      <c r="C57" t="str">
        <f t="shared" si="15"/>
        <v>精英怪</v>
      </c>
      <c r="D57">
        <f t="shared" si="16"/>
        <v>2</v>
      </c>
      <c r="E57" t="str">
        <f t="shared" si="17"/>
        <v>11_BOSS</v>
      </c>
      <c r="G57">
        <f t="shared" si="18"/>
        <v>1</v>
      </c>
      <c r="H57">
        <f t="shared" si="19"/>
        <v>1</v>
      </c>
      <c r="I57">
        <f t="shared" si="20"/>
        <v>3</v>
      </c>
      <c r="J57">
        <f t="shared" si="21"/>
        <v>30</v>
      </c>
      <c r="K57">
        <f t="shared" si="22"/>
        <v>25</v>
      </c>
      <c r="L57">
        <f t="shared" si="23"/>
        <v>1</v>
      </c>
      <c r="M57">
        <f t="shared" si="24"/>
        <v>5</v>
      </c>
      <c r="N57" t="str">
        <f t="shared" si="25"/>
        <v>BOSS</v>
      </c>
    </row>
    <row r="58" spans="1:14">
      <c r="A58" s="4">
        <f t="shared" si="14"/>
        <v>1106</v>
      </c>
      <c r="B58" s="4">
        <f t="shared" si="26"/>
        <v>11</v>
      </c>
      <c r="C58" t="str">
        <f t="shared" si="15"/>
        <v>BOSS</v>
      </c>
      <c r="D58">
        <f t="shared" si="16"/>
        <v>3</v>
      </c>
      <c r="E58" t="str">
        <f t="shared" si="17"/>
        <v>11_BOSS</v>
      </c>
      <c r="G58">
        <f t="shared" si="18"/>
        <v>1.1</v>
      </c>
      <c r="H58">
        <f t="shared" si="19"/>
        <v>8</v>
      </c>
      <c r="I58">
        <f t="shared" si="20"/>
        <v>10</v>
      </c>
      <c r="J58">
        <f t="shared" si="21"/>
        <v>80</v>
      </c>
      <c r="K58">
        <f t="shared" si="22"/>
        <v>25</v>
      </c>
      <c r="L58">
        <f t="shared" si="23"/>
        <v>1</v>
      </c>
      <c r="M58">
        <f t="shared" si="24"/>
        <v>10</v>
      </c>
      <c r="N58" t="str">
        <f t="shared" si="25"/>
        <v>BOSS</v>
      </c>
    </row>
    <row r="59" spans="1:14">
      <c r="A59" s="4">
        <f t="shared" si="14"/>
        <v>1201</v>
      </c>
      <c r="B59" s="4">
        <f t="shared" si="26"/>
        <v>12</v>
      </c>
      <c r="C59" t="str">
        <f t="shared" si="15"/>
        <v>普通怪</v>
      </c>
      <c r="D59">
        <f t="shared" si="16"/>
        <v>1</v>
      </c>
      <c r="E59" t="str">
        <f t="shared" si="17"/>
        <v>12_小怪</v>
      </c>
      <c r="G59">
        <f t="shared" si="18"/>
        <v>1</v>
      </c>
      <c r="H59">
        <f t="shared" si="19"/>
        <v>1</v>
      </c>
      <c r="I59">
        <f t="shared" si="20"/>
        <v>1</v>
      </c>
      <c r="J59">
        <f t="shared" si="21"/>
        <v>15</v>
      </c>
      <c r="K59">
        <f t="shared" si="22"/>
        <v>25</v>
      </c>
      <c r="L59">
        <f t="shared" si="23"/>
        <v>1</v>
      </c>
      <c r="M59">
        <f t="shared" si="24"/>
        <v>3</v>
      </c>
      <c r="N59" t="str">
        <f t="shared" si="25"/>
        <v>小怪</v>
      </c>
    </row>
    <row r="60" spans="1:14">
      <c r="A60" s="4">
        <f t="shared" si="14"/>
        <v>1202</v>
      </c>
      <c r="B60" s="4">
        <f t="shared" si="26"/>
        <v>12</v>
      </c>
      <c r="C60" t="str">
        <f t="shared" si="15"/>
        <v>普通怪</v>
      </c>
      <c r="D60">
        <f t="shared" si="16"/>
        <v>1</v>
      </c>
      <c r="E60" t="str">
        <f t="shared" si="17"/>
        <v>12_小怪</v>
      </c>
      <c r="G60">
        <f t="shared" si="18"/>
        <v>1</v>
      </c>
      <c r="H60">
        <f t="shared" si="19"/>
        <v>1</v>
      </c>
      <c r="I60">
        <f t="shared" si="20"/>
        <v>1</v>
      </c>
      <c r="J60">
        <f t="shared" si="21"/>
        <v>15</v>
      </c>
      <c r="K60">
        <f t="shared" si="22"/>
        <v>25</v>
      </c>
      <c r="L60">
        <f t="shared" si="23"/>
        <v>1</v>
      </c>
      <c r="M60">
        <f t="shared" si="24"/>
        <v>2</v>
      </c>
      <c r="N60" t="str">
        <f t="shared" si="25"/>
        <v>小怪</v>
      </c>
    </row>
    <row r="61" spans="1:14">
      <c r="A61" s="4">
        <f t="shared" si="14"/>
        <v>1203</v>
      </c>
      <c r="B61" s="4">
        <f t="shared" si="26"/>
        <v>12</v>
      </c>
      <c r="C61" t="str">
        <f t="shared" si="15"/>
        <v>普通怪</v>
      </c>
      <c r="D61">
        <f t="shared" si="16"/>
        <v>1</v>
      </c>
      <c r="E61" t="str">
        <f t="shared" si="17"/>
        <v>12_小怪</v>
      </c>
      <c r="G61">
        <f t="shared" si="18"/>
        <v>1</v>
      </c>
      <c r="H61">
        <f t="shared" si="19"/>
        <v>1</v>
      </c>
      <c r="I61">
        <f t="shared" si="20"/>
        <v>1</v>
      </c>
      <c r="J61">
        <f t="shared" si="21"/>
        <v>15</v>
      </c>
      <c r="K61">
        <f t="shared" si="22"/>
        <v>25</v>
      </c>
      <c r="L61">
        <f t="shared" si="23"/>
        <v>1</v>
      </c>
      <c r="M61">
        <f t="shared" si="24"/>
        <v>1</v>
      </c>
      <c r="N61" t="str">
        <f t="shared" si="25"/>
        <v>小怪</v>
      </c>
    </row>
    <row r="62" spans="1:14">
      <c r="A62" s="4">
        <f t="shared" si="14"/>
        <v>1205</v>
      </c>
      <c r="B62" s="4">
        <f t="shared" si="26"/>
        <v>12</v>
      </c>
      <c r="C62" t="str">
        <f t="shared" si="15"/>
        <v>精英怪</v>
      </c>
      <c r="D62">
        <f t="shared" si="16"/>
        <v>2</v>
      </c>
      <c r="E62" t="str">
        <f t="shared" si="17"/>
        <v>12_BOSS</v>
      </c>
      <c r="G62">
        <f t="shared" si="18"/>
        <v>1</v>
      </c>
      <c r="H62">
        <f t="shared" si="19"/>
        <v>1</v>
      </c>
      <c r="I62">
        <f t="shared" si="20"/>
        <v>3</v>
      </c>
      <c r="J62">
        <f t="shared" si="21"/>
        <v>30</v>
      </c>
      <c r="K62">
        <f t="shared" si="22"/>
        <v>25</v>
      </c>
      <c r="L62">
        <f t="shared" si="23"/>
        <v>1</v>
      </c>
      <c r="M62">
        <f t="shared" si="24"/>
        <v>5</v>
      </c>
      <c r="N62" t="str">
        <f t="shared" si="25"/>
        <v>BOSS</v>
      </c>
    </row>
    <row r="63" spans="1:14">
      <c r="A63" s="4">
        <f t="shared" si="14"/>
        <v>1206</v>
      </c>
      <c r="B63" s="4">
        <f t="shared" si="26"/>
        <v>12</v>
      </c>
      <c r="C63" t="str">
        <f t="shared" si="15"/>
        <v>BOSS</v>
      </c>
      <c r="D63">
        <f t="shared" si="16"/>
        <v>3</v>
      </c>
      <c r="E63" t="str">
        <f t="shared" si="17"/>
        <v>12_BOSS</v>
      </c>
      <c r="G63">
        <f t="shared" si="18"/>
        <v>1.1</v>
      </c>
      <c r="H63">
        <f t="shared" si="19"/>
        <v>8</v>
      </c>
      <c r="I63">
        <f t="shared" si="20"/>
        <v>10</v>
      </c>
      <c r="J63">
        <f t="shared" si="21"/>
        <v>80</v>
      </c>
      <c r="K63">
        <f t="shared" si="22"/>
        <v>25</v>
      </c>
      <c r="L63">
        <f t="shared" si="23"/>
        <v>1</v>
      </c>
      <c r="M63">
        <f t="shared" si="24"/>
        <v>10</v>
      </c>
      <c r="N63" t="str">
        <f t="shared" si="25"/>
        <v>BOSS</v>
      </c>
    </row>
    <row r="64" spans="1:14">
      <c r="A64" s="4">
        <f t="shared" ref="A64:A83" si="27">A59+100</f>
        <v>1301</v>
      </c>
      <c r="B64" s="4">
        <f t="shared" si="26"/>
        <v>13</v>
      </c>
      <c r="C64" t="str">
        <f t="shared" si="15"/>
        <v>普通怪</v>
      </c>
      <c r="D64">
        <f t="shared" si="16"/>
        <v>1</v>
      </c>
      <c r="E64" t="str">
        <f t="shared" si="17"/>
        <v>13_小怪</v>
      </c>
      <c r="G64">
        <f t="shared" si="18"/>
        <v>1</v>
      </c>
      <c r="H64">
        <f t="shared" si="19"/>
        <v>1</v>
      </c>
      <c r="I64">
        <f t="shared" si="20"/>
        <v>1</v>
      </c>
      <c r="J64">
        <f t="shared" si="21"/>
        <v>15</v>
      </c>
      <c r="K64">
        <f t="shared" si="22"/>
        <v>25</v>
      </c>
      <c r="L64">
        <f t="shared" si="23"/>
        <v>1</v>
      </c>
      <c r="M64">
        <f t="shared" si="24"/>
        <v>3</v>
      </c>
      <c r="N64" t="str">
        <f t="shared" si="25"/>
        <v>小怪</v>
      </c>
    </row>
    <row r="65" spans="1:14">
      <c r="A65" s="4">
        <f t="shared" si="27"/>
        <v>1302</v>
      </c>
      <c r="B65" s="4">
        <f t="shared" si="26"/>
        <v>13</v>
      </c>
      <c r="C65" t="str">
        <f t="shared" si="15"/>
        <v>普通怪</v>
      </c>
      <c r="D65">
        <f t="shared" si="16"/>
        <v>1</v>
      </c>
      <c r="E65" t="str">
        <f t="shared" si="17"/>
        <v>13_小怪</v>
      </c>
      <c r="G65">
        <f t="shared" si="18"/>
        <v>1</v>
      </c>
      <c r="H65">
        <f t="shared" si="19"/>
        <v>1</v>
      </c>
      <c r="I65">
        <f t="shared" si="20"/>
        <v>1</v>
      </c>
      <c r="J65">
        <f t="shared" si="21"/>
        <v>15</v>
      </c>
      <c r="K65">
        <f t="shared" si="22"/>
        <v>25</v>
      </c>
      <c r="L65">
        <f t="shared" si="23"/>
        <v>1</v>
      </c>
      <c r="M65">
        <f t="shared" si="24"/>
        <v>2</v>
      </c>
      <c r="N65" t="str">
        <f t="shared" si="25"/>
        <v>小怪</v>
      </c>
    </row>
    <row r="66" spans="1:14">
      <c r="A66" s="4">
        <f t="shared" si="27"/>
        <v>1303</v>
      </c>
      <c r="B66" s="4">
        <f t="shared" si="26"/>
        <v>13</v>
      </c>
      <c r="C66" t="str">
        <f t="shared" si="15"/>
        <v>普通怪</v>
      </c>
      <c r="D66">
        <f t="shared" si="16"/>
        <v>1</v>
      </c>
      <c r="E66" t="str">
        <f t="shared" si="17"/>
        <v>13_小怪</v>
      </c>
      <c r="G66">
        <f t="shared" si="18"/>
        <v>1</v>
      </c>
      <c r="H66">
        <f t="shared" si="19"/>
        <v>1</v>
      </c>
      <c r="I66">
        <f t="shared" si="20"/>
        <v>1</v>
      </c>
      <c r="J66">
        <f t="shared" si="21"/>
        <v>15</v>
      </c>
      <c r="K66">
        <f t="shared" si="22"/>
        <v>25</v>
      </c>
      <c r="L66">
        <f t="shared" si="23"/>
        <v>1</v>
      </c>
      <c r="M66">
        <f t="shared" si="24"/>
        <v>1</v>
      </c>
      <c r="N66" t="str">
        <f t="shared" si="25"/>
        <v>小怪</v>
      </c>
    </row>
    <row r="67" spans="1:14">
      <c r="A67" s="4">
        <f t="shared" si="27"/>
        <v>1305</v>
      </c>
      <c r="B67" s="4">
        <f t="shared" si="26"/>
        <v>13</v>
      </c>
      <c r="C67" t="str">
        <f t="shared" si="15"/>
        <v>精英怪</v>
      </c>
      <c r="D67">
        <f t="shared" si="16"/>
        <v>2</v>
      </c>
      <c r="E67" t="str">
        <f t="shared" si="17"/>
        <v>13_BOSS</v>
      </c>
      <c r="G67">
        <f t="shared" si="18"/>
        <v>1</v>
      </c>
      <c r="H67">
        <f t="shared" si="19"/>
        <v>1</v>
      </c>
      <c r="I67">
        <f t="shared" si="20"/>
        <v>3</v>
      </c>
      <c r="J67">
        <f t="shared" si="21"/>
        <v>30</v>
      </c>
      <c r="K67">
        <f t="shared" si="22"/>
        <v>25</v>
      </c>
      <c r="L67">
        <f t="shared" si="23"/>
        <v>1</v>
      </c>
      <c r="M67">
        <f t="shared" si="24"/>
        <v>5</v>
      </c>
      <c r="N67" t="str">
        <f t="shared" si="25"/>
        <v>BOSS</v>
      </c>
    </row>
    <row r="68" spans="1:14">
      <c r="A68" s="4">
        <f t="shared" si="27"/>
        <v>1306</v>
      </c>
      <c r="B68" s="4">
        <f t="shared" si="26"/>
        <v>13</v>
      </c>
      <c r="C68" t="str">
        <f t="shared" si="15"/>
        <v>BOSS</v>
      </c>
      <c r="D68">
        <f t="shared" si="16"/>
        <v>3</v>
      </c>
      <c r="E68" t="str">
        <f t="shared" si="17"/>
        <v>13_BOSS</v>
      </c>
      <c r="G68">
        <f t="shared" si="18"/>
        <v>1.1</v>
      </c>
      <c r="H68">
        <f t="shared" si="19"/>
        <v>8</v>
      </c>
      <c r="I68">
        <f t="shared" si="20"/>
        <v>10</v>
      </c>
      <c r="J68">
        <f t="shared" si="21"/>
        <v>80</v>
      </c>
      <c r="K68">
        <f t="shared" si="22"/>
        <v>25</v>
      </c>
      <c r="L68">
        <f t="shared" si="23"/>
        <v>1</v>
      </c>
      <c r="M68">
        <f t="shared" si="24"/>
        <v>10</v>
      </c>
      <c r="N68" t="str">
        <f t="shared" si="25"/>
        <v>BOSS</v>
      </c>
    </row>
    <row r="69" spans="1:14">
      <c r="A69" s="4">
        <f t="shared" si="27"/>
        <v>1401</v>
      </c>
      <c r="B69" s="4">
        <f t="shared" si="26"/>
        <v>14</v>
      </c>
      <c r="C69" t="str">
        <f t="shared" si="15"/>
        <v>普通怪</v>
      </c>
      <c r="D69">
        <f t="shared" si="16"/>
        <v>1</v>
      </c>
      <c r="E69" t="str">
        <f t="shared" si="17"/>
        <v>14_小怪</v>
      </c>
      <c r="G69">
        <f t="shared" si="18"/>
        <v>1</v>
      </c>
      <c r="H69">
        <f t="shared" si="19"/>
        <v>1</v>
      </c>
      <c r="I69">
        <f t="shared" si="20"/>
        <v>1</v>
      </c>
      <c r="J69">
        <f t="shared" si="21"/>
        <v>15</v>
      </c>
      <c r="K69">
        <f t="shared" si="22"/>
        <v>25</v>
      </c>
      <c r="L69">
        <f t="shared" si="23"/>
        <v>1</v>
      </c>
      <c r="M69">
        <f t="shared" si="24"/>
        <v>3</v>
      </c>
      <c r="N69" t="str">
        <f t="shared" si="25"/>
        <v>小怪</v>
      </c>
    </row>
    <row r="70" spans="1:14">
      <c r="A70" s="4">
        <f t="shared" si="27"/>
        <v>1402</v>
      </c>
      <c r="B70" s="4">
        <f t="shared" si="26"/>
        <v>14</v>
      </c>
      <c r="C70" t="str">
        <f t="shared" si="15"/>
        <v>普通怪</v>
      </c>
      <c r="D70">
        <f t="shared" si="16"/>
        <v>1</v>
      </c>
      <c r="E70" t="str">
        <f t="shared" si="17"/>
        <v>14_小怪</v>
      </c>
      <c r="G70">
        <f t="shared" si="18"/>
        <v>1</v>
      </c>
      <c r="H70">
        <f t="shared" si="19"/>
        <v>1</v>
      </c>
      <c r="I70">
        <f t="shared" si="20"/>
        <v>1</v>
      </c>
      <c r="J70">
        <f t="shared" si="21"/>
        <v>15</v>
      </c>
      <c r="K70">
        <f t="shared" si="22"/>
        <v>25</v>
      </c>
      <c r="L70">
        <f t="shared" si="23"/>
        <v>1</v>
      </c>
      <c r="M70">
        <f t="shared" si="24"/>
        <v>2</v>
      </c>
      <c r="N70" t="str">
        <f t="shared" si="25"/>
        <v>小怪</v>
      </c>
    </row>
    <row r="71" spans="1:14">
      <c r="A71" s="4">
        <f t="shared" si="27"/>
        <v>1403</v>
      </c>
      <c r="B71" s="4">
        <f t="shared" si="26"/>
        <v>14</v>
      </c>
      <c r="C71" t="str">
        <f t="shared" si="15"/>
        <v>普通怪</v>
      </c>
      <c r="D71">
        <f t="shared" si="16"/>
        <v>1</v>
      </c>
      <c r="E71" t="str">
        <f t="shared" si="17"/>
        <v>14_小怪</v>
      </c>
      <c r="G71">
        <f t="shared" si="18"/>
        <v>1</v>
      </c>
      <c r="H71">
        <f t="shared" si="19"/>
        <v>1</v>
      </c>
      <c r="I71">
        <f t="shared" si="20"/>
        <v>1</v>
      </c>
      <c r="J71">
        <f t="shared" si="21"/>
        <v>15</v>
      </c>
      <c r="K71">
        <f t="shared" si="22"/>
        <v>25</v>
      </c>
      <c r="L71">
        <f t="shared" si="23"/>
        <v>1</v>
      </c>
      <c r="M71">
        <f t="shared" si="24"/>
        <v>1</v>
      </c>
      <c r="N71" t="str">
        <f t="shared" si="25"/>
        <v>小怪</v>
      </c>
    </row>
    <row r="72" spans="1:14">
      <c r="A72" s="4">
        <f t="shared" si="27"/>
        <v>1405</v>
      </c>
      <c r="B72" s="4">
        <f t="shared" si="26"/>
        <v>14</v>
      </c>
      <c r="C72" t="str">
        <f t="shared" si="15"/>
        <v>精英怪</v>
      </c>
      <c r="D72">
        <f t="shared" si="16"/>
        <v>2</v>
      </c>
      <c r="E72" t="str">
        <f t="shared" si="17"/>
        <v>14_BOSS</v>
      </c>
      <c r="G72">
        <f t="shared" si="18"/>
        <v>1</v>
      </c>
      <c r="H72">
        <f t="shared" si="19"/>
        <v>1</v>
      </c>
      <c r="I72">
        <f t="shared" si="20"/>
        <v>3</v>
      </c>
      <c r="J72">
        <f t="shared" si="21"/>
        <v>30</v>
      </c>
      <c r="K72">
        <f t="shared" si="22"/>
        <v>25</v>
      </c>
      <c r="L72">
        <f t="shared" si="23"/>
        <v>1</v>
      </c>
      <c r="M72">
        <f t="shared" si="24"/>
        <v>5</v>
      </c>
      <c r="N72" t="str">
        <f t="shared" si="25"/>
        <v>BOSS</v>
      </c>
    </row>
    <row r="73" spans="1:14">
      <c r="A73" s="4">
        <f t="shared" si="27"/>
        <v>1406</v>
      </c>
      <c r="B73" s="4">
        <f t="shared" si="26"/>
        <v>14</v>
      </c>
      <c r="C73" t="str">
        <f t="shared" si="15"/>
        <v>BOSS</v>
      </c>
      <c r="D73">
        <f t="shared" si="16"/>
        <v>3</v>
      </c>
      <c r="E73" t="str">
        <f t="shared" si="17"/>
        <v>14_BOSS</v>
      </c>
      <c r="G73">
        <f t="shared" si="18"/>
        <v>1.1</v>
      </c>
      <c r="H73">
        <f t="shared" si="19"/>
        <v>8</v>
      </c>
      <c r="I73">
        <f t="shared" si="20"/>
        <v>10</v>
      </c>
      <c r="J73">
        <f t="shared" si="21"/>
        <v>80</v>
      </c>
      <c r="K73">
        <f t="shared" si="22"/>
        <v>25</v>
      </c>
      <c r="L73">
        <f t="shared" si="23"/>
        <v>1</v>
      </c>
      <c r="M73">
        <f t="shared" si="24"/>
        <v>10</v>
      </c>
      <c r="N73" t="str">
        <f t="shared" si="25"/>
        <v>BOSS</v>
      </c>
    </row>
    <row r="74" spans="1:14">
      <c r="A74" s="4">
        <f t="shared" si="27"/>
        <v>1501</v>
      </c>
      <c r="B74" s="4">
        <f t="shared" si="26"/>
        <v>15</v>
      </c>
      <c r="C74" t="str">
        <f t="shared" ref="C74:C103" si="28">C69</f>
        <v>普通怪</v>
      </c>
      <c r="D74">
        <f t="shared" ref="D74:D103" si="29">D69</f>
        <v>1</v>
      </c>
      <c r="E74" t="str">
        <f t="shared" ref="E74:E103" si="30">B74&amp;"_"&amp;N74</f>
        <v>15_小怪</v>
      </c>
      <c r="G74">
        <f t="shared" ref="G74:G103" si="31">G69</f>
        <v>1</v>
      </c>
      <c r="H74">
        <f t="shared" ref="H74:H103" si="32">H69</f>
        <v>1</v>
      </c>
      <c r="I74">
        <f t="shared" ref="I74:I103" si="33">I69</f>
        <v>1</v>
      </c>
      <c r="J74">
        <f t="shared" ref="J74:J103" si="34">J69</f>
        <v>15</v>
      </c>
      <c r="K74">
        <f t="shared" ref="K74:K103" si="35">K69</f>
        <v>25</v>
      </c>
      <c r="L74">
        <f t="shared" ref="L74:L103" si="36">L69</f>
        <v>1</v>
      </c>
      <c r="M74">
        <f t="shared" ref="M74:M103" si="37">M69</f>
        <v>3</v>
      </c>
      <c r="N74" t="str">
        <f t="shared" ref="N74:N103" si="38">N69</f>
        <v>小怪</v>
      </c>
    </row>
    <row r="75" spans="1:14">
      <c r="A75" s="4">
        <f t="shared" si="27"/>
        <v>1502</v>
      </c>
      <c r="B75" s="4">
        <f t="shared" si="26"/>
        <v>15</v>
      </c>
      <c r="C75" t="str">
        <f t="shared" si="28"/>
        <v>普通怪</v>
      </c>
      <c r="D75">
        <f t="shared" si="29"/>
        <v>1</v>
      </c>
      <c r="E75" t="str">
        <f t="shared" si="30"/>
        <v>15_小怪</v>
      </c>
      <c r="G75">
        <f t="shared" si="31"/>
        <v>1</v>
      </c>
      <c r="H75">
        <f t="shared" si="32"/>
        <v>1</v>
      </c>
      <c r="I75">
        <f t="shared" si="33"/>
        <v>1</v>
      </c>
      <c r="J75">
        <f t="shared" si="34"/>
        <v>15</v>
      </c>
      <c r="K75">
        <f t="shared" si="35"/>
        <v>25</v>
      </c>
      <c r="L75">
        <f t="shared" si="36"/>
        <v>1</v>
      </c>
      <c r="M75">
        <f t="shared" si="37"/>
        <v>2</v>
      </c>
      <c r="N75" t="str">
        <f t="shared" si="38"/>
        <v>小怪</v>
      </c>
    </row>
    <row r="76" spans="1:14">
      <c r="A76" s="4">
        <f t="shared" si="27"/>
        <v>1503</v>
      </c>
      <c r="B76" s="4">
        <f t="shared" si="26"/>
        <v>15</v>
      </c>
      <c r="C76" t="str">
        <f t="shared" si="28"/>
        <v>普通怪</v>
      </c>
      <c r="D76">
        <f t="shared" si="29"/>
        <v>1</v>
      </c>
      <c r="E76" t="str">
        <f t="shared" si="30"/>
        <v>15_小怪</v>
      </c>
      <c r="G76">
        <f t="shared" si="31"/>
        <v>1</v>
      </c>
      <c r="H76">
        <f t="shared" si="32"/>
        <v>1</v>
      </c>
      <c r="I76">
        <f t="shared" si="33"/>
        <v>1</v>
      </c>
      <c r="J76">
        <f t="shared" si="34"/>
        <v>15</v>
      </c>
      <c r="K76">
        <f t="shared" si="35"/>
        <v>25</v>
      </c>
      <c r="L76">
        <f t="shared" si="36"/>
        <v>1</v>
      </c>
      <c r="M76">
        <f t="shared" si="37"/>
        <v>1</v>
      </c>
      <c r="N76" t="str">
        <f t="shared" si="38"/>
        <v>小怪</v>
      </c>
    </row>
    <row r="77" spans="1:14">
      <c r="A77" s="4">
        <f t="shared" si="27"/>
        <v>1505</v>
      </c>
      <c r="B77" s="4">
        <f t="shared" si="26"/>
        <v>15</v>
      </c>
      <c r="C77" t="str">
        <f t="shared" si="28"/>
        <v>精英怪</v>
      </c>
      <c r="D77">
        <f t="shared" si="29"/>
        <v>2</v>
      </c>
      <c r="E77" t="str">
        <f t="shared" si="30"/>
        <v>15_BOSS</v>
      </c>
      <c r="G77">
        <f t="shared" si="31"/>
        <v>1</v>
      </c>
      <c r="H77">
        <f t="shared" si="32"/>
        <v>1</v>
      </c>
      <c r="I77">
        <f t="shared" si="33"/>
        <v>3</v>
      </c>
      <c r="J77">
        <f t="shared" si="34"/>
        <v>30</v>
      </c>
      <c r="K77">
        <f t="shared" si="35"/>
        <v>25</v>
      </c>
      <c r="L77">
        <f t="shared" si="36"/>
        <v>1</v>
      </c>
      <c r="M77">
        <f t="shared" si="37"/>
        <v>5</v>
      </c>
      <c r="N77" t="str">
        <f t="shared" si="38"/>
        <v>BOSS</v>
      </c>
    </row>
    <row r="78" spans="1:14">
      <c r="A78" s="4">
        <f t="shared" si="27"/>
        <v>1506</v>
      </c>
      <c r="B78" s="4">
        <f t="shared" si="26"/>
        <v>15</v>
      </c>
      <c r="C78" t="str">
        <f t="shared" si="28"/>
        <v>BOSS</v>
      </c>
      <c r="D78">
        <f t="shared" si="29"/>
        <v>3</v>
      </c>
      <c r="E78" t="str">
        <f t="shared" si="30"/>
        <v>15_BOSS</v>
      </c>
      <c r="G78">
        <f t="shared" si="31"/>
        <v>1.1</v>
      </c>
      <c r="H78">
        <f t="shared" si="32"/>
        <v>8</v>
      </c>
      <c r="I78">
        <f t="shared" si="33"/>
        <v>10</v>
      </c>
      <c r="J78">
        <f t="shared" si="34"/>
        <v>80</v>
      </c>
      <c r="K78">
        <f t="shared" si="35"/>
        <v>25</v>
      </c>
      <c r="L78">
        <f t="shared" si="36"/>
        <v>1</v>
      </c>
      <c r="M78">
        <f t="shared" si="37"/>
        <v>10</v>
      </c>
      <c r="N78" t="str">
        <f t="shared" si="38"/>
        <v>BOSS</v>
      </c>
    </row>
    <row r="79" spans="1:14">
      <c r="A79" s="4">
        <f t="shared" si="27"/>
        <v>1601</v>
      </c>
      <c r="B79" s="4">
        <f t="shared" ref="B79:B103" si="39">B74+1</f>
        <v>16</v>
      </c>
      <c r="C79" t="str">
        <f t="shared" si="28"/>
        <v>普通怪</v>
      </c>
      <c r="D79">
        <f t="shared" si="29"/>
        <v>1</v>
      </c>
      <c r="E79" t="str">
        <f t="shared" si="30"/>
        <v>16_小怪</v>
      </c>
      <c r="G79">
        <f t="shared" si="31"/>
        <v>1</v>
      </c>
      <c r="H79">
        <f t="shared" si="32"/>
        <v>1</v>
      </c>
      <c r="I79">
        <f t="shared" si="33"/>
        <v>1</v>
      </c>
      <c r="J79">
        <f t="shared" si="34"/>
        <v>15</v>
      </c>
      <c r="K79">
        <f t="shared" si="35"/>
        <v>25</v>
      </c>
      <c r="L79">
        <f t="shared" si="36"/>
        <v>1</v>
      </c>
      <c r="M79">
        <f t="shared" si="37"/>
        <v>3</v>
      </c>
      <c r="N79" t="str">
        <f t="shared" si="38"/>
        <v>小怪</v>
      </c>
    </row>
    <row r="80" spans="1:14">
      <c r="A80" s="4">
        <f t="shared" si="27"/>
        <v>1602</v>
      </c>
      <c r="B80" s="4">
        <f t="shared" si="39"/>
        <v>16</v>
      </c>
      <c r="C80" t="str">
        <f t="shared" si="28"/>
        <v>普通怪</v>
      </c>
      <c r="D80">
        <f t="shared" si="29"/>
        <v>1</v>
      </c>
      <c r="E80" t="str">
        <f t="shared" si="30"/>
        <v>16_小怪</v>
      </c>
      <c r="G80">
        <f t="shared" si="31"/>
        <v>1</v>
      </c>
      <c r="H80">
        <f t="shared" si="32"/>
        <v>1</v>
      </c>
      <c r="I80">
        <f t="shared" si="33"/>
        <v>1</v>
      </c>
      <c r="J80">
        <f t="shared" si="34"/>
        <v>15</v>
      </c>
      <c r="K80">
        <f t="shared" si="35"/>
        <v>25</v>
      </c>
      <c r="L80">
        <f t="shared" si="36"/>
        <v>1</v>
      </c>
      <c r="M80">
        <f t="shared" si="37"/>
        <v>2</v>
      </c>
      <c r="N80" t="str">
        <f t="shared" si="38"/>
        <v>小怪</v>
      </c>
    </row>
    <row r="81" spans="1:14">
      <c r="A81" s="4">
        <f t="shared" si="27"/>
        <v>1603</v>
      </c>
      <c r="B81" s="4">
        <f t="shared" si="39"/>
        <v>16</v>
      </c>
      <c r="C81" t="str">
        <f t="shared" si="28"/>
        <v>普通怪</v>
      </c>
      <c r="D81">
        <f t="shared" si="29"/>
        <v>1</v>
      </c>
      <c r="E81" t="str">
        <f t="shared" si="30"/>
        <v>16_小怪</v>
      </c>
      <c r="G81">
        <f t="shared" si="31"/>
        <v>1</v>
      </c>
      <c r="H81">
        <f t="shared" si="32"/>
        <v>1</v>
      </c>
      <c r="I81">
        <f t="shared" si="33"/>
        <v>1</v>
      </c>
      <c r="J81">
        <f t="shared" si="34"/>
        <v>15</v>
      </c>
      <c r="K81">
        <f t="shared" si="35"/>
        <v>25</v>
      </c>
      <c r="L81">
        <f t="shared" si="36"/>
        <v>1</v>
      </c>
      <c r="M81">
        <f t="shared" si="37"/>
        <v>1</v>
      </c>
      <c r="N81" t="str">
        <f t="shared" si="38"/>
        <v>小怪</v>
      </c>
    </row>
    <row r="82" spans="1:14">
      <c r="A82" s="4">
        <f t="shared" si="27"/>
        <v>1605</v>
      </c>
      <c r="B82" s="4">
        <f t="shared" si="39"/>
        <v>16</v>
      </c>
      <c r="C82" t="str">
        <f t="shared" si="28"/>
        <v>精英怪</v>
      </c>
      <c r="D82">
        <f t="shared" si="29"/>
        <v>2</v>
      </c>
      <c r="E82" t="str">
        <f t="shared" si="30"/>
        <v>16_BOSS</v>
      </c>
      <c r="G82">
        <f t="shared" si="31"/>
        <v>1</v>
      </c>
      <c r="H82">
        <f t="shared" si="32"/>
        <v>1</v>
      </c>
      <c r="I82">
        <f t="shared" si="33"/>
        <v>3</v>
      </c>
      <c r="J82">
        <f t="shared" si="34"/>
        <v>30</v>
      </c>
      <c r="K82">
        <f t="shared" si="35"/>
        <v>25</v>
      </c>
      <c r="L82">
        <f t="shared" si="36"/>
        <v>1</v>
      </c>
      <c r="M82">
        <f t="shared" si="37"/>
        <v>5</v>
      </c>
      <c r="N82" t="str">
        <f t="shared" si="38"/>
        <v>BOSS</v>
      </c>
    </row>
    <row r="83" spans="1:14">
      <c r="A83" s="4">
        <f t="shared" si="27"/>
        <v>1606</v>
      </c>
      <c r="B83" s="4">
        <f t="shared" si="39"/>
        <v>16</v>
      </c>
      <c r="C83" t="str">
        <f t="shared" si="28"/>
        <v>BOSS</v>
      </c>
      <c r="D83">
        <f t="shared" si="29"/>
        <v>3</v>
      </c>
      <c r="E83" t="str">
        <f t="shared" si="30"/>
        <v>16_BOSS</v>
      </c>
      <c r="G83">
        <f t="shared" si="31"/>
        <v>1.1</v>
      </c>
      <c r="H83">
        <f t="shared" si="32"/>
        <v>8</v>
      </c>
      <c r="I83">
        <f t="shared" si="33"/>
        <v>10</v>
      </c>
      <c r="J83">
        <f t="shared" si="34"/>
        <v>80</v>
      </c>
      <c r="K83">
        <f t="shared" si="35"/>
        <v>25</v>
      </c>
      <c r="L83">
        <f t="shared" si="36"/>
        <v>1</v>
      </c>
      <c r="M83">
        <f t="shared" si="37"/>
        <v>10</v>
      </c>
      <c r="N83" t="str">
        <f t="shared" si="38"/>
        <v>BOSS</v>
      </c>
    </row>
    <row r="84" spans="1:14">
      <c r="A84" s="4">
        <f t="shared" ref="A84:A103" si="40">A79+100</f>
        <v>1701</v>
      </c>
      <c r="B84" s="4">
        <f t="shared" si="39"/>
        <v>17</v>
      </c>
      <c r="C84" t="str">
        <f t="shared" si="28"/>
        <v>普通怪</v>
      </c>
      <c r="D84">
        <f t="shared" si="29"/>
        <v>1</v>
      </c>
      <c r="E84" t="str">
        <f t="shared" si="30"/>
        <v>17_小怪</v>
      </c>
      <c r="G84">
        <f t="shared" si="31"/>
        <v>1</v>
      </c>
      <c r="H84">
        <f t="shared" si="32"/>
        <v>1</v>
      </c>
      <c r="I84">
        <f t="shared" si="33"/>
        <v>1</v>
      </c>
      <c r="J84">
        <f t="shared" si="34"/>
        <v>15</v>
      </c>
      <c r="K84">
        <f t="shared" si="35"/>
        <v>25</v>
      </c>
      <c r="L84">
        <f t="shared" si="36"/>
        <v>1</v>
      </c>
      <c r="M84">
        <f t="shared" si="37"/>
        <v>3</v>
      </c>
      <c r="N84" t="str">
        <f t="shared" si="38"/>
        <v>小怪</v>
      </c>
    </row>
    <row r="85" spans="1:14">
      <c r="A85" s="4">
        <f t="shared" si="40"/>
        <v>1702</v>
      </c>
      <c r="B85" s="4">
        <f t="shared" si="39"/>
        <v>17</v>
      </c>
      <c r="C85" t="str">
        <f t="shared" si="28"/>
        <v>普通怪</v>
      </c>
      <c r="D85">
        <f t="shared" si="29"/>
        <v>1</v>
      </c>
      <c r="E85" t="str">
        <f t="shared" si="30"/>
        <v>17_小怪</v>
      </c>
      <c r="G85">
        <f t="shared" si="31"/>
        <v>1</v>
      </c>
      <c r="H85">
        <f t="shared" si="32"/>
        <v>1</v>
      </c>
      <c r="I85">
        <f t="shared" si="33"/>
        <v>1</v>
      </c>
      <c r="J85">
        <f t="shared" si="34"/>
        <v>15</v>
      </c>
      <c r="K85">
        <f t="shared" si="35"/>
        <v>25</v>
      </c>
      <c r="L85">
        <f t="shared" si="36"/>
        <v>1</v>
      </c>
      <c r="M85">
        <f t="shared" si="37"/>
        <v>2</v>
      </c>
      <c r="N85" t="str">
        <f t="shared" si="38"/>
        <v>小怪</v>
      </c>
    </row>
    <row r="86" spans="1:14">
      <c r="A86" s="4">
        <f t="shared" si="40"/>
        <v>1703</v>
      </c>
      <c r="B86" s="4">
        <f t="shared" si="39"/>
        <v>17</v>
      </c>
      <c r="C86" t="str">
        <f t="shared" si="28"/>
        <v>普通怪</v>
      </c>
      <c r="D86">
        <f t="shared" si="29"/>
        <v>1</v>
      </c>
      <c r="E86" t="str">
        <f t="shared" si="30"/>
        <v>17_小怪</v>
      </c>
      <c r="G86">
        <f t="shared" si="31"/>
        <v>1</v>
      </c>
      <c r="H86">
        <f t="shared" si="32"/>
        <v>1</v>
      </c>
      <c r="I86">
        <f t="shared" si="33"/>
        <v>1</v>
      </c>
      <c r="J86">
        <f t="shared" si="34"/>
        <v>15</v>
      </c>
      <c r="K86">
        <f t="shared" si="35"/>
        <v>25</v>
      </c>
      <c r="L86">
        <f t="shared" si="36"/>
        <v>1</v>
      </c>
      <c r="M86">
        <f t="shared" si="37"/>
        <v>1</v>
      </c>
      <c r="N86" t="str">
        <f t="shared" si="38"/>
        <v>小怪</v>
      </c>
    </row>
    <row r="87" spans="1:14">
      <c r="A87" s="4">
        <f t="shared" si="40"/>
        <v>1705</v>
      </c>
      <c r="B87" s="4">
        <f t="shared" si="39"/>
        <v>17</v>
      </c>
      <c r="C87" t="str">
        <f t="shared" si="28"/>
        <v>精英怪</v>
      </c>
      <c r="D87">
        <f t="shared" si="29"/>
        <v>2</v>
      </c>
      <c r="E87" t="str">
        <f t="shared" si="30"/>
        <v>17_BOSS</v>
      </c>
      <c r="G87">
        <f t="shared" si="31"/>
        <v>1</v>
      </c>
      <c r="H87">
        <f t="shared" si="32"/>
        <v>1</v>
      </c>
      <c r="I87">
        <f t="shared" si="33"/>
        <v>3</v>
      </c>
      <c r="J87">
        <f t="shared" si="34"/>
        <v>30</v>
      </c>
      <c r="K87">
        <f t="shared" si="35"/>
        <v>25</v>
      </c>
      <c r="L87">
        <f t="shared" si="36"/>
        <v>1</v>
      </c>
      <c r="M87">
        <f t="shared" si="37"/>
        <v>5</v>
      </c>
      <c r="N87" t="str">
        <f t="shared" si="38"/>
        <v>BOSS</v>
      </c>
    </row>
    <row r="88" spans="1:14">
      <c r="A88" s="4">
        <f t="shared" si="40"/>
        <v>1706</v>
      </c>
      <c r="B88" s="4">
        <f t="shared" si="39"/>
        <v>17</v>
      </c>
      <c r="C88" t="str">
        <f t="shared" si="28"/>
        <v>BOSS</v>
      </c>
      <c r="D88">
        <f t="shared" si="29"/>
        <v>3</v>
      </c>
      <c r="E88" t="str">
        <f t="shared" si="30"/>
        <v>17_BOSS</v>
      </c>
      <c r="G88">
        <f t="shared" si="31"/>
        <v>1.1</v>
      </c>
      <c r="H88">
        <f t="shared" si="32"/>
        <v>8</v>
      </c>
      <c r="I88">
        <f t="shared" si="33"/>
        <v>10</v>
      </c>
      <c r="J88">
        <f t="shared" si="34"/>
        <v>80</v>
      </c>
      <c r="K88">
        <f t="shared" si="35"/>
        <v>25</v>
      </c>
      <c r="L88">
        <f t="shared" si="36"/>
        <v>1</v>
      </c>
      <c r="M88">
        <f t="shared" si="37"/>
        <v>10</v>
      </c>
      <c r="N88" t="str">
        <f t="shared" si="38"/>
        <v>BOSS</v>
      </c>
    </row>
    <row r="89" spans="1:14">
      <c r="A89" s="4">
        <f t="shared" si="40"/>
        <v>1801</v>
      </c>
      <c r="B89" s="4">
        <f t="shared" si="39"/>
        <v>18</v>
      </c>
      <c r="C89" t="str">
        <f t="shared" si="28"/>
        <v>普通怪</v>
      </c>
      <c r="D89">
        <f t="shared" si="29"/>
        <v>1</v>
      </c>
      <c r="E89" t="str">
        <f t="shared" si="30"/>
        <v>18_小怪</v>
      </c>
      <c r="G89">
        <f t="shared" si="31"/>
        <v>1</v>
      </c>
      <c r="H89">
        <f t="shared" si="32"/>
        <v>1</v>
      </c>
      <c r="I89">
        <f t="shared" si="33"/>
        <v>1</v>
      </c>
      <c r="J89">
        <f t="shared" si="34"/>
        <v>15</v>
      </c>
      <c r="K89">
        <f t="shared" si="35"/>
        <v>25</v>
      </c>
      <c r="L89">
        <f t="shared" si="36"/>
        <v>1</v>
      </c>
      <c r="M89">
        <f t="shared" si="37"/>
        <v>3</v>
      </c>
      <c r="N89" t="str">
        <f t="shared" si="38"/>
        <v>小怪</v>
      </c>
    </row>
    <row r="90" spans="1:14">
      <c r="A90" s="4">
        <f t="shared" si="40"/>
        <v>1802</v>
      </c>
      <c r="B90" s="4">
        <f t="shared" si="39"/>
        <v>18</v>
      </c>
      <c r="C90" t="str">
        <f t="shared" si="28"/>
        <v>普通怪</v>
      </c>
      <c r="D90">
        <f t="shared" si="29"/>
        <v>1</v>
      </c>
      <c r="E90" t="str">
        <f t="shared" si="30"/>
        <v>18_小怪</v>
      </c>
      <c r="G90">
        <f t="shared" si="31"/>
        <v>1</v>
      </c>
      <c r="H90">
        <f t="shared" si="32"/>
        <v>1</v>
      </c>
      <c r="I90">
        <f t="shared" si="33"/>
        <v>1</v>
      </c>
      <c r="J90">
        <f t="shared" si="34"/>
        <v>15</v>
      </c>
      <c r="K90">
        <f t="shared" si="35"/>
        <v>25</v>
      </c>
      <c r="L90">
        <f t="shared" si="36"/>
        <v>1</v>
      </c>
      <c r="M90">
        <f t="shared" si="37"/>
        <v>2</v>
      </c>
      <c r="N90" t="str">
        <f t="shared" si="38"/>
        <v>小怪</v>
      </c>
    </row>
    <row r="91" spans="1:14">
      <c r="A91" s="4">
        <f t="shared" si="40"/>
        <v>1803</v>
      </c>
      <c r="B91" s="4">
        <f t="shared" si="39"/>
        <v>18</v>
      </c>
      <c r="C91" t="str">
        <f t="shared" si="28"/>
        <v>普通怪</v>
      </c>
      <c r="D91">
        <f t="shared" si="29"/>
        <v>1</v>
      </c>
      <c r="E91" t="str">
        <f t="shared" si="30"/>
        <v>18_小怪</v>
      </c>
      <c r="G91">
        <f t="shared" si="31"/>
        <v>1</v>
      </c>
      <c r="H91">
        <f t="shared" si="32"/>
        <v>1</v>
      </c>
      <c r="I91">
        <f t="shared" si="33"/>
        <v>1</v>
      </c>
      <c r="J91">
        <f t="shared" si="34"/>
        <v>15</v>
      </c>
      <c r="K91">
        <f t="shared" si="35"/>
        <v>25</v>
      </c>
      <c r="L91">
        <f t="shared" si="36"/>
        <v>1</v>
      </c>
      <c r="M91">
        <f t="shared" si="37"/>
        <v>1</v>
      </c>
      <c r="N91" t="str">
        <f t="shared" si="38"/>
        <v>小怪</v>
      </c>
    </row>
    <row r="92" spans="1:14">
      <c r="A92" s="4">
        <f t="shared" si="40"/>
        <v>1805</v>
      </c>
      <c r="B92" s="4">
        <f t="shared" si="39"/>
        <v>18</v>
      </c>
      <c r="C92" t="str">
        <f t="shared" si="28"/>
        <v>精英怪</v>
      </c>
      <c r="D92">
        <f t="shared" si="29"/>
        <v>2</v>
      </c>
      <c r="E92" t="str">
        <f t="shared" si="30"/>
        <v>18_BOSS</v>
      </c>
      <c r="G92">
        <f t="shared" si="31"/>
        <v>1</v>
      </c>
      <c r="H92">
        <f t="shared" si="32"/>
        <v>1</v>
      </c>
      <c r="I92">
        <f t="shared" si="33"/>
        <v>3</v>
      </c>
      <c r="J92">
        <f t="shared" si="34"/>
        <v>30</v>
      </c>
      <c r="K92">
        <f t="shared" si="35"/>
        <v>25</v>
      </c>
      <c r="L92">
        <f t="shared" si="36"/>
        <v>1</v>
      </c>
      <c r="M92">
        <f t="shared" si="37"/>
        <v>5</v>
      </c>
      <c r="N92" t="str">
        <f t="shared" si="38"/>
        <v>BOSS</v>
      </c>
    </row>
    <row r="93" spans="1:14">
      <c r="A93" s="4">
        <f t="shared" si="40"/>
        <v>1806</v>
      </c>
      <c r="B93" s="4">
        <f t="shared" si="39"/>
        <v>18</v>
      </c>
      <c r="C93" t="str">
        <f t="shared" si="28"/>
        <v>BOSS</v>
      </c>
      <c r="D93">
        <f t="shared" si="29"/>
        <v>3</v>
      </c>
      <c r="E93" t="str">
        <f t="shared" si="30"/>
        <v>18_BOSS</v>
      </c>
      <c r="G93">
        <f t="shared" si="31"/>
        <v>1.1</v>
      </c>
      <c r="H93">
        <f t="shared" si="32"/>
        <v>8</v>
      </c>
      <c r="I93">
        <f t="shared" si="33"/>
        <v>10</v>
      </c>
      <c r="J93">
        <f t="shared" si="34"/>
        <v>80</v>
      </c>
      <c r="K93">
        <f t="shared" si="35"/>
        <v>25</v>
      </c>
      <c r="L93">
        <f t="shared" si="36"/>
        <v>1</v>
      </c>
      <c r="M93">
        <f t="shared" si="37"/>
        <v>10</v>
      </c>
      <c r="N93" t="str">
        <f t="shared" si="38"/>
        <v>BOSS</v>
      </c>
    </row>
    <row r="94" spans="1:14">
      <c r="A94" s="4">
        <f t="shared" si="40"/>
        <v>1901</v>
      </c>
      <c r="B94" s="4">
        <f t="shared" si="39"/>
        <v>19</v>
      </c>
      <c r="C94" t="str">
        <f t="shared" si="28"/>
        <v>普通怪</v>
      </c>
      <c r="D94">
        <f t="shared" si="29"/>
        <v>1</v>
      </c>
      <c r="E94" t="str">
        <f t="shared" si="30"/>
        <v>19_小怪</v>
      </c>
      <c r="G94">
        <f t="shared" si="31"/>
        <v>1</v>
      </c>
      <c r="H94">
        <f t="shared" si="32"/>
        <v>1</v>
      </c>
      <c r="I94">
        <f t="shared" si="33"/>
        <v>1</v>
      </c>
      <c r="J94">
        <f t="shared" si="34"/>
        <v>15</v>
      </c>
      <c r="K94">
        <f t="shared" si="35"/>
        <v>25</v>
      </c>
      <c r="L94">
        <f t="shared" si="36"/>
        <v>1</v>
      </c>
      <c r="M94">
        <f t="shared" si="37"/>
        <v>3</v>
      </c>
      <c r="N94" t="str">
        <f t="shared" si="38"/>
        <v>小怪</v>
      </c>
    </row>
    <row r="95" spans="1:14">
      <c r="A95" s="4">
        <f t="shared" si="40"/>
        <v>1902</v>
      </c>
      <c r="B95" s="4">
        <f t="shared" si="39"/>
        <v>19</v>
      </c>
      <c r="C95" t="str">
        <f t="shared" si="28"/>
        <v>普通怪</v>
      </c>
      <c r="D95">
        <f t="shared" si="29"/>
        <v>1</v>
      </c>
      <c r="E95" t="str">
        <f t="shared" si="30"/>
        <v>19_小怪</v>
      </c>
      <c r="G95">
        <f t="shared" si="31"/>
        <v>1</v>
      </c>
      <c r="H95">
        <f t="shared" si="32"/>
        <v>1</v>
      </c>
      <c r="I95">
        <f t="shared" si="33"/>
        <v>1</v>
      </c>
      <c r="J95">
        <f t="shared" si="34"/>
        <v>15</v>
      </c>
      <c r="K95">
        <f t="shared" si="35"/>
        <v>25</v>
      </c>
      <c r="L95">
        <f t="shared" si="36"/>
        <v>1</v>
      </c>
      <c r="M95">
        <f t="shared" si="37"/>
        <v>2</v>
      </c>
      <c r="N95" t="str">
        <f t="shared" si="38"/>
        <v>小怪</v>
      </c>
    </row>
    <row r="96" spans="1:14">
      <c r="A96" s="4">
        <f t="shared" si="40"/>
        <v>1903</v>
      </c>
      <c r="B96" s="4">
        <f t="shared" si="39"/>
        <v>19</v>
      </c>
      <c r="C96" t="str">
        <f t="shared" si="28"/>
        <v>普通怪</v>
      </c>
      <c r="D96">
        <f t="shared" si="29"/>
        <v>1</v>
      </c>
      <c r="E96" t="str">
        <f t="shared" si="30"/>
        <v>19_小怪</v>
      </c>
      <c r="G96">
        <f t="shared" si="31"/>
        <v>1</v>
      </c>
      <c r="H96">
        <f t="shared" si="32"/>
        <v>1</v>
      </c>
      <c r="I96">
        <f t="shared" si="33"/>
        <v>1</v>
      </c>
      <c r="J96">
        <f t="shared" si="34"/>
        <v>15</v>
      </c>
      <c r="K96">
        <f t="shared" si="35"/>
        <v>25</v>
      </c>
      <c r="L96">
        <f t="shared" si="36"/>
        <v>1</v>
      </c>
      <c r="M96">
        <f t="shared" si="37"/>
        <v>1</v>
      </c>
      <c r="N96" t="str">
        <f t="shared" si="38"/>
        <v>小怪</v>
      </c>
    </row>
    <row r="97" spans="1:14">
      <c r="A97" s="4">
        <f t="shared" si="40"/>
        <v>1905</v>
      </c>
      <c r="B97" s="4">
        <f t="shared" si="39"/>
        <v>19</v>
      </c>
      <c r="C97" t="str">
        <f t="shared" si="28"/>
        <v>精英怪</v>
      </c>
      <c r="D97">
        <f t="shared" si="29"/>
        <v>2</v>
      </c>
      <c r="E97" t="str">
        <f t="shared" si="30"/>
        <v>19_BOSS</v>
      </c>
      <c r="G97">
        <f t="shared" si="31"/>
        <v>1</v>
      </c>
      <c r="H97">
        <f t="shared" si="32"/>
        <v>1</v>
      </c>
      <c r="I97">
        <f t="shared" si="33"/>
        <v>3</v>
      </c>
      <c r="J97">
        <f t="shared" si="34"/>
        <v>30</v>
      </c>
      <c r="K97">
        <f t="shared" si="35"/>
        <v>25</v>
      </c>
      <c r="L97">
        <f t="shared" si="36"/>
        <v>1</v>
      </c>
      <c r="M97">
        <f t="shared" si="37"/>
        <v>5</v>
      </c>
      <c r="N97" t="str">
        <f t="shared" si="38"/>
        <v>BOSS</v>
      </c>
    </row>
    <row r="98" spans="1:14">
      <c r="A98" s="4">
        <f t="shared" si="40"/>
        <v>1906</v>
      </c>
      <c r="B98" s="4">
        <f t="shared" si="39"/>
        <v>19</v>
      </c>
      <c r="C98" t="str">
        <f t="shared" si="28"/>
        <v>BOSS</v>
      </c>
      <c r="D98">
        <f t="shared" si="29"/>
        <v>3</v>
      </c>
      <c r="E98" t="str">
        <f t="shared" si="30"/>
        <v>19_BOSS</v>
      </c>
      <c r="G98">
        <f t="shared" si="31"/>
        <v>1.1</v>
      </c>
      <c r="H98">
        <f t="shared" si="32"/>
        <v>8</v>
      </c>
      <c r="I98">
        <f t="shared" si="33"/>
        <v>10</v>
      </c>
      <c r="J98">
        <f t="shared" si="34"/>
        <v>80</v>
      </c>
      <c r="K98">
        <f t="shared" si="35"/>
        <v>25</v>
      </c>
      <c r="L98">
        <f t="shared" si="36"/>
        <v>1</v>
      </c>
      <c r="M98">
        <f t="shared" si="37"/>
        <v>10</v>
      </c>
      <c r="N98" t="str">
        <f t="shared" si="38"/>
        <v>BOSS</v>
      </c>
    </row>
    <row r="99" spans="1:14">
      <c r="A99" s="4">
        <f t="shared" si="40"/>
        <v>2001</v>
      </c>
      <c r="B99" s="4">
        <f t="shared" si="39"/>
        <v>20</v>
      </c>
      <c r="C99" t="str">
        <f t="shared" si="28"/>
        <v>普通怪</v>
      </c>
      <c r="D99">
        <f t="shared" si="29"/>
        <v>1</v>
      </c>
      <c r="E99" t="str">
        <f t="shared" si="30"/>
        <v>20_小怪</v>
      </c>
      <c r="G99">
        <f t="shared" si="31"/>
        <v>1</v>
      </c>
      <c r="H99">
        <f t="shared" si="32"/>
        <v>1</v>
      </c>
      <c r="I99">
        <f t="shared" si="33"/>
        <v>1</v>
      </c>
      <c r="J99">
        <f t="shared" si="34"/>
        <v>15</v>
      </c>
      <c r="K99">
        <f t="shared" si="35"/>
        <v>25</v>
      </c>
      <c r="L99">
        <f t="shared" si="36"/>
        <v>1</v>
      </c>
      <c r="M99">
        <f t="shared" si="37"/>
        <v>3</v>
      </c>
      <c r="N99" t="str">
        <f t="shared" si="38"/>
        <v>小怪</v>
      </c>
    </row>
    <row r="100" spans="1:14">
      <c r="A100" s="4">
        <f t="shared" si="40"/>
        <v>2002</v>
      </c>
      <c r="B100" s="4">
        <f t="shared" si="39"/>
        <v>20</v>
      </c>
      <c r="C100" t="str">
        <f t="shared" si="28"/>
        <v>普通怪</v>
      </c>
      <c r="D100">
        <f t="shared" si="29"/>
        <v>1</v>
      </c>
      <c r="E100" t="str">
        <f t="shared" si="30"/>
        <v>20_小怪</v>
      </c>
      <c r="G100">
        <f t="shared" si="31"/>
        <v>1</v>
      </c>
      <c r="H100">
        <f t="shared" si="32"/>
        <v>1</v>
      </c>
      <c r="I100">
        <f t="shared" si="33"/>
        <v>1</v>
      </c>
      <c r="J100">
        <f t="shared" si="34"/>
        <v>15</v>
      </c>
      <c r="K100">
        <f t="shared" si="35"/>
        <v>25</v>
      </c>
      <c r="L100">
        <f t="shared" si="36"/>
        <v>1</v>
      </c>
      <c r="M100">
        <f t="shared" si="37"/>
        <v>2</v>
      </c>
      <c r="N100" t="str">
        <f t="shared" si="38"/>
        <v>小怪</v>
      </c>
    </row>
    <row r="101" spans="1:14">
      <c r="A101" s="4">
        <f t="shared" si="40"/>
        <v>2003</v>
      </c>
      <c r="B101" s="4">
        <f t="shared" si="39"/>
        <v>20</v>
      </c>
      <c r="C101" t="str">
        <f t="shared" si="28"/>
        <v>普通怪</v>
      </c>
      <c r="D101">
        <f t="shared" si="29"/>
        <v>1</v>
      </c>
      <c r="E101" t="str">
        <f t="shared" si="30"/>
        <v>20_小怪</v>
      </c>
      <c r="G101">
        <f t="shared" si="31"/>
        <v>1</v>
      </c>
      <c r="H101">
        <f t="shared" si="32"/>
        <v>1</v>
      </c>
      <c r="I101">
        <f t="shared" si="33"/>
        <v>1</v>
      </c>
      <c r="J101">
        <f t="shared" si="34"/>
        <v>15</v>
      </c>
      <c r="K101">
        <f t="shared" si="35"/>
        <v>25</v>
      </c>
      <c r="L101">
        <f t="shared" si="36"/>
        <v>1</v>
      </c>
      <c r="M101">
        <f t="shared" si="37"/>
        <v>1</v>
      </c>
      <c r="N101" t="str">
        <f t="shared" si="38"/>
        <v>小怪</v>
      </c>
    </row>
    <row r="102" spans="1:14">
      <c r="A102" s="4">
        <f t="shared" si="40"/>
        <v>2005</v>
      </c>
      <c r="B102" s="4">
        <f t="shared" si="39"/>
        <v>20</v>
      </c>
      <c r="C102" t="str">
        <f t="shared" si="28"/>
        <v>精英怪</v>
      </c>
      <c r="D102">
        <f t="shared" si="29"/>
        <v>2</v>
      </c>
      <c r="E102" t="str">
        <f t="shared" si="30"/>
        <v>20_BOSS</v>
      </c>
      <c r="G102">
        <f t="shared" si="31"/>
        <v>1</v>
      </c>
      <c r="H102">
        <f t="shared" si="32"/>
        <v>1</v>
      </c>
      <c r="I102">
        <f t="shared" si="33"/>
        <v>3</v>
      </c>
      <c r="J102">
        <f t="shared" si="34"/>
        <v>30</v>
      </c>
      <c r="K102">
        <f t="shared" si="35"/>
        <v>25</v>
      </c>
      <c r="L102">
        <f t="shared" si="36"/>
        <v>1</v>
      </c>
      <c r="M102">
        <f t="shared" si="37"/>
        <v>5</v>
      </c>
      <c r="N102" t="str">
        <f t="shared" si="38"/>
        <v>BOSS</v>
      </c>
    </row>
    <row r="103" spans="1:14">
      <c r="A103" s="4">
        <f t="shared" si="40"/>
        <v>2006</v>
      </c>
      <c r="B103" s="4">
        <f t="shared" si="39"/>
        <v>20</v>
      </c>
      <c r="C103" t="str">
        <f t="shared" si="28"/>
        <v>BOSS</v>
      </c>
      <c r="D103">
        <f t="shared" si="29"/>
        <v>3</v>
      </c>
      <c r="E103" t="str">
        <f t="shared" si="30"/>
        <v>20_BOSS</v>
      </c>
      <c r="G103">
        <f t="shared" si="31"/>
        <v>1.1</v>
      </c>
      <c r="H103">
        <f t="shared" si="32"/>
        <v>8</v>
      </c>
      <c r="I103">
        <f t="shared" si="33"/>
        <v>10</v>
      </c>
      <c r="J103">
        <f t="shared" si="34"/>
        <v>80</v>
      </c>
      <c r="K103">
        <f t="shared" si="35"/>
        <v>25</v>
      </c>
      <c r="L103">
        <f t="shared" si="36"/>
        <v>1</v>
      </c>
      <c r="M103">
        <f t="shared" si="37"/>
        <v>10</v>
      </c>
      <c r="N103" t="str">
        <f t="shared" si="38"/>
        <v>BOSS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J349"/>
  <sheetViews>
    <sheetView topLeftCell="A310" workbookViewId="0">
      <selection activeCell="E344" sqref="E344"/>
    </sheetView>
  </sheetViews>
  <sheetFormatPr defaultColWidth="8.88888888888889" defaultRowHeight="13.8"/>
  <cols>
    <col min="1" max="1" width="8.88888888888889" style="4"/>
    <col min="4" max="4" width="37.4444444444444" customWidth="1"/>
    <col min="5" max="13" width="8.88888888888889" style="7"/>
    <col min="15" max="15" width="8.88888888888889" style="7"/>
    <col min="16" max="40" width="8.88888888888889" style="4"/>
    <col min="50" max="62" width="8.88888888888889" style="4"/>
  </cols>
  <sheetData>
    <row r="1" ht="16.2" spans="1:43">
      <c r="A1" s="37" t="s">
        <v>428</v>
      </c>
      <c r="B1" s="2" t="s">
        <v>4</v>
      </c>
      <c r="C1" s="2" t="s">
        <v>429</v>
      </c>
      <c r="D1" s="7" t="s">
        <v>430</v>
      </c>
      <c r="G1" s="38" t="s">
        <v>431</v>
      </c>
      <c r="O1" s="38" t="s">
        <v>432</v>
      </c>
      <c r="P1" s="2" t="s">
        <v>433</v>
      </c>
      <c r="Q1" s="2" t="s">
        <v>434</v>
      </c>
      <c r="R1" s="2" t="s">
        <v>435</v>
      </c>
      <c r="S1" s="2" t="s">
        <v>436</v>
      </c>
      <c r="T1" s="2" t="s">
        <v>437</v>
      </c>
      <c r="V1" s="37" t="s">
        <v>438</v>
      </c>
      <c r="W1" s="2" t="s">
        <v>433</v>
      </c>
      <c r="X1" s="2" t="s">
        <v>434</v>
      </c>
      <c r="Y1" s="2" t="s">
        <v>435</v>
      </c>
      <c r="Z1" s="2" t="s">
        <v>436</v>
      </c>
      <c r="AA1" s="2" t="s">
        <v>437</v>
      </c>
      <c r="AQ1" s="18" t="s">
        <v>439</v>
      </c>
    </row>
    <row r="2" ht="16.2" spans="1:47">
      <c r="A2" s="4" t="s">
        <v>440</v>
      </c>
      <c r="B2" s="24">
        <v>1</v>
      </c>
      <c r="C2" s="24">
        <v>13500</v>
      </c>
      <c r="D2" s="7">
        <v>0.7</v>
      </c>
      <c r="G2" s="38" t="s">
        <v>441</v>
      </c>
      <c r="P2" s="24">
        <v>5</v>
      </c>
      <c r="Q2" s="52" t="s">
        <v>442</v>
      </c>
      <c r="R2" s="52" t="s">
        <v>443</v>
      </c>
      <c r="S2" s="52" t="s">
        <v>444</v>
      </c>
      <c r="T2" s="52" t="s">
        <v>445</v>
      </c>
      <c r="W2" s="24">
        <v>5</v>
      </c>
      <c r="X2" s="24" t="s">
        <v>443</v>
      </c>
      <c r="Y2" s="24" t="s">
        <v>444</v>
      </c>
      <c r="Z2" s="24" t="s">
        <v>445</v>
      </c>
      <c r="AA2" s="24" t="s">
        <v>445</v>
      </c>
      <c r="AQ2" s="39" t="s">
        <v>217</v>
      </c>
      <c r="AR2" s="2">
        <v>1</v>
      </c>
      <c r="AS2" s="2">
        <v>2</v>
      </c>
      <c r="AT2" s="2">
        <v>3</v>
      </c>
      <c r="AU2" s="2">
        <v>4</v>
      </c>
    </row>
    <row r="3" spans="1:47">
      <c r="A3" s="4" t="s">
        <v>446</v>
      </c>
      <c r="B3" s="24">
        <v>2</v>
      </c>
      <c r="C3" s="24">
        <v>4500</v>
      </c>
      <c r="P3" s="24">
        <v>10</v>
      </c>
      <c r="Q3" s="52" t="s">
        <v>447</v>
      </c>
      <c r="R3" s="52" t="s">
        <v>448</v>
      </c>
      <c r="S3" s="52" t="s">
        <v>449</v>
      </c>
      <c r="T3" s="52" t="s">
        <v>450</v>
      </c>
      <c r="W3" s="24">
        <v>10</v>
      </c>
      <c r="X3" s="24" t="s">
        <v>448</v>
      </c>
      <c r="Y3" s="24" t="s">
        <v>449</v>
      </c>
      <c r="Z3" s="24" t="s">
        <v>450</v>
      </c>
      <c r="AA3" s="24" t="s">
        <v>450</v>
      </c>
      <c r="AQ3" s="54" t="s">
        <v>17</v>
      </c>
      <c r="AR3" s="35">
        <f>COUNTIFS($L:$L,AR$2,$B:$B,$AQ3)</f>
        <v>14</v>
      </c>
      <c r="AS3" s="35">
        <f>COUNTIFS($L:$L,AS$2,$B:$B,$AQ3)</f>
        <v>2</v>
      </c>
      <c r="AT3" s="35">
        <f>COUNTIFS($L:$L,AT$2,$B:$B,$AQ3)</f>
        <v>1</v>
      </c>
      <c r="AU3" s="35">
        <f>COUNTIFS($L:$L,AU$2,$B:$B,$AQ3)</f>
        <v>0</v>
      </c>
    </row>
    <row r="4" spans="1:47">
      <c r="A4" s="4" t="s">
        <v>451</v>
      </c>
      <c r="B4" s="24">
        <v>3</v>
      </c>
      <c r="C4" s="24">
        <v>1500</v>
      </c>
      <c r="P4" s="24">
        <v>20</v>
      </c>
      <c r="Q4" s="52" t="s">
        <v>452</v>
      </c>
      <c r="R4" s="52" t="s">
        <v>453</v>
      </c>
      <c r="S4" s="52" t="s">
        <v>454</v>
      </c>
      <c r="T4" s="52" t="s">
        <v>455</v>
      </c>
      <c r="W4" s="24">
        <v>20</v>
      </c>
      <c r="X4" s="24" t="s">
        <v>453</v>
      </c>
      <c r="Y4" s="24" t="s">
        <v>454</v>
      </c>
      <c r="Z4" s="24" t="s">
        <v>455</v>
      </c>
      <c r="AA4" s="24" t="s">
        <v>455</v>
      </c>
      <c r="AQ4" s="54" t="s">
        <v>32</v>
      </c>
      <c r="AR4" s="35">
        <f>COUNTIFS($L:$L,AR$2,$B:$B,$AQ4)</f>
        <v>11</v>
      </c>
      <c r="AS4" s="35">
        <f>COUNTIFS($L:$L,AS$2,$B:$B,$AQ4)</f>
        <v>2</v>
      </c>
      <c r="AT4" s="35">
        <f>COUNTIFS($L:$L,AT$2,$B:$B,$AQ4)</f>
        <v>1</v>
      </c>
      <c r="AU4" s="35">
        <f>COUNTIFS($L:$L,AU$2,$B:$B,$AQ4)</f>
        <v>0</v>
      </c>
    </row>
    <row r="5" spans="1:47">
      <c r="A5" s="4" t="s">
        <v>456</v>
      </c>
      <c r="B5" s="24">
        <v>4</v>
      </c>
      <c r="C5" s="24">
        <v>500</v>
      </c>
      <c r="P5" s="24">
        <v>50</v>
      </c>
      <c r="Q5" s="52" t="s">
        <v>453</v>
      </c>
      <c r="R5" s="52" t="s">
        <v>454</v>
      </c>
      <c r="S5" s="52" t="s">
        <v>455</v>
      </c>
      <c r="T5" s="52" t="s">
        <v>455</v>
      </c>
      <c r="W5" s="24">
        <v>50</v>
      </c>
      <c r="X5" s="24" t="s">
        <v>454</v>
      </c>
      <c r="Y5" s="24" t="s">
        <v>455</v>
      </c>
      <c r="Z5" s="24" t="s">
        <v>455</v>
      </c>
      <c r="AA5" s="24" t="s">
        <v>455</v>
      </c>
      <c r="AQ5" s="54" t="s">
        <v>41</v>
      </c>
      <c r="AR5" s="35">
        <f>COUNTIFS($L:$L,AR$2,$B:$B,$AQ5)</f>
        <v>11</v>
      </c>
      <c r="AS5" s="35">
        <f>COUNTIFS($L:$L,AS$2,$B:$B,$AQ5)</f>
        <v>2</v>
      </c>
      <c r="AT5" s="35">
        <f>COUNTIFS($L:$L,AT$2,$B:$B,$AQ5)</f>
        <v>1</v>
      </c>
      <c r="AU5" s="35">
        <f>COUNTIFS($L:$L,AU$2,$B:$B,$AQ5)</f>
        <v>0</v>
      </c>
    </row>
    <row r="6" spans="10:47">
      <c r="J6" s="38" t="s">
        <v>457</v>
      </c>
      <c r="K6" s="38" t="s">
        <v>458</v>
      </c>
      <c r="R6" s="53" t="s">
        <v>459</v>
      </c>
      <c r="S6" s="53" t="s">
        <v>460</v>
      </c>
      <c r="T6" s="53" t="s">
        <v>461</v>
      </c>
      <c r="AQ6" s="55" t="s">
        <v>50</v>
      </c>
      <c r="AR6" s="35">
        <f>COUNTIFS($L:$L,AR$2,$B:$B,$AQ6)</f>
        <v>11</v>
      </c>
      <c r="AS6" s="35">
        <f>COUNTIFS($L:$L,AS$2,$B:$B,$AQ6)</f>
        <v>2</v>
      </c>
      <c r="AT6" s="35">
        <f>COUNTIFS($L:$L,AT$2,$B:$B,$AQ6)</f>
        <v>1</v>
      </c>
      <c r="AU6" s="35">
        <f>COUNTIFS($L:$L,AU$2,$B:$B,$AQ6)</f>
        <v>0</v>
      </c>
    </row>
    <row r="7" spans="7:47">
      <c r="G7" s="7">
        <v>1.3</v>
      </c>
      <c r="H7" s="38" t="s">
        <v>462</v>
      </c>
      <c r="I7" s="38" t="s">
        <v>463</v>
      </c>
      <c r="J7" s="38">
        <v>2</v>
      </c>
      <c r="K7" s="38">
        <v>3</v>
      </c>
      <c r="AQ7" s="54" t="s">
        <v>55</v>
      </c>
      <c r="AR7" s="35">
        <f>COUNTIFS($L:$L,AR$2,$B:$B,$AQ7)</f>
        <v>14</v>
      </c>
      <c r="AS7" s="35">
        <f>COUNTIFS($L:$L,AS$2,$B:$B,$AQ7)</f>
        <v>2</v>
      </c>
      <c r="AT7" s="35">
        <f>COUNTIFS($L:$L,AT$2,$B:$B,$AQ7)</f>
        <v>1</v>
      </c>
      <c r="AU7" s="35">
        <f>COUNTIFS($L:$L,AU$2,$B:$B,$AQ7)</f>
        <v>0</v>
      </c>
    </row>
    <row r="8" spans="6:50">
      <c r="F8" s="38" t="s">
        <v>464</v>
      </c>
      <c r="G8" s="38" t="s">
        <v>465</v>
      </c>
      <c r="H8" s="38" t="s">
        <v>466</v>
      </c>
      <c r="I8" s="38" t="s">
        <v>464</v>
      </c>
      <c r="J8" s="38" t="s">
        <v>465</v>
      </c>
      <c r="K8" s="38" t="s">
        <v>466</v>
      </c>
      <c r="P8" s="37" t="s">
        <v>467</v>
      </c>
      <c r="Q8" s="37">
        <v>1</v>
      </c>
      <c r="R8" s="37" t="s">
        <v>468</v>
      </c>
      <c r="S8" s="37">
        <v>1</v>
      </c>
      <c r="T8" s="37" t="s">
        <v>468</v>
      </c>
      <c r="U8" s="37">
        <v>1</v>
      </c>
      <c r="V8" s="37" t="s">
        <v>468</v>
      </c>
      <c r="W8" s="37">
        <v>2</v>
      </c>
      <c r="X8" s="37" t="s">
        <v>469</v>
      </c>
      <c r="Y8" s="37">
        <v>2</v>
      </c>
      <c r="Z8" s="37" t="s">
        <v>469</v>
      </c>
      <c r="AA8" s="37">
        <v>2</v>
      </c>
      <c r="AB8" s="37" t="s">
        <v>469</v>
      </c>
      <c r="AC8" s="37">
        <v>3</v>
      </c>
      <c r="AD8" s="37" t="s">
        <v>470</v>
      </c>
      <c r="AE8" s="37">
        <v>3</v>
      </c>
      <c r="AF8" s="37" t="s">
        <v>470</v>
      </c>
      <c r="AG8" s="37">
        <v>3</v>
      </c>
      <c r="AH8" s="37" t="s">
        <v>470</v>
      </c>
      <c r="AI8" s="37">
        <v>4</v>
      </c>
      <c r="AJ8" s="37" t="s">
        <v>471</v>
      </c>
      <c r="AK8" s="37">
        <v>4</v>
      </c>
      <c r="AL8" s="37" t="s">
        <v>471</v>
      </c>
      <c r="AM8" s="37">
        <v>4</v>
      </c>
      <c r="AN8" s="37" t="s">
        <v>471</v>
      </c>
      <c r="AQ8" s="54" t="s">
        <v>63</v>
      </c>
      <c r="AR8" s="35">
        <f>COUNTIFS($L:$L,AR$2,$B:$B,$AQ8)</f>
        <v>14</v>
      </c>
      <c r="AS8" s="35">
        <f>COUNTIFS($L:$L,AS$2,$B:$B,$AQ8)</f>
        <v>2</v>
      </c>
      <c r="AT8" s="35">
        <f>COUNTIFS($L:$L,AT$2,$B:$B,$AQ8)</f>
        <v>1</v>
      </c>
      <c r="AU8" s="35">
        <f>COUNTIFS($L:$L,AU$2,$B:$B,$AQ8)</f>
        <v>0</v>
      </c>
      <c r="AX8" s="37"/>
    </row>
    <row r="9" ht="16.2" spans="1:62">
      <c r="A9" s="2" t="s">
        <v>472</v>
      </c>
      <c r="B9" s="39" t="s">
        <v>473</v>
      </c>
      <c r="C9" s="39" t="s">
        <v>474</v>
      </c>
      <c r="D9" s="39" t="s">
        <v>346</v>
      </c>
      <c r="E9" s="2" t="s">
        <v>475</v>
      </c>
      <c r="F9" s="2" t="s">
        <v>476</v>
      </c>
      <c r="G9" s="2" t="s">
        <v>476</v>
      </c>
      <c r="H9" s="2" t="s">
        <v>476</v>
      </c>
      <c r="I9" s="2" t="s">
        <v>476</v>
      </c>
      <c r="J9" s="2" t="s">
        <v>476</v>
      </c>
      <c r="K9" s="2" t="s">
        <v>476</v>
      </c>
      <c r="L9" s="2" t="s">
        <v>477</v>
      </c>
      <c r="M9" s="2" t="s">
        <v>136</v>
      </c>
      <c r="N9" t="s">
        <v>429</v>
      </c>
      <c r="O9" s="51" t="s">
        <v>478</v>
      </c>
      <c r="P9" s="51" t="s">
        <v>479</v>
      </c>
      <c r="Q9" s="2" t="s">
        <v>478</v>
      </c>
      <c r="R9" s="2" t="s">
        <v>442</v>
      </c>
      <c r="S9" s="51" t="s">
        <v>478</v>
      </c>
      <c r="T9" s="51" t="s">
        <v>447</v>
      </c>
      <c r="U9" s="2" t="s">
        <v>478</v>
      </c>
      <c r="V9" s="2" t="s">
        <v>452</v>
      </c>
      <c r="W9" s="51" t="s">
        <v>478</v>
      </c>
      <c r="X9" s="51" t="s">
        <v>443</v>
      </c>
      <c r="Y9" s="2" t="s">
        <v>478</v>
      </c>
      <c r="Z9" s="2" t="s">
        <v>448</v>
      </c>
      <c r="AA9" s="51" t="s">
        <v>478</v>
      </c>
      <c r="AB9" s="51" t="s">
        <v>453</v>
      </c>
      <c r="AC9" s="2" t="s">
        <v>478</v>
      </c>
      <c r="AD9" s="2" t="s">
        <v>444</v>
      </c>
      <c r="AE9" s="51" t="s">
        <v>478</v>
      </c>
      <c r="AF9" s="51" t="s">
        <v>449</v>
      </c>
      <c r="AG9" s="2" t="s">
        <v>478</v>
      </c>
      <c r="AH9" s="2" t="s">
        <v>454</v>
      </c>
      <c r="AI9" s="51" t="s">
        <v>478</v>
      </c>
      <c r="AJ9" s="51" t="s">
        <v>445</v>
      </c>
      <c r="AK9" s="2" t="s">
        <v>478</v>
      </c>
      <c r="AL9" s="2" t="s">
        <v>450</v>
      </c>
      <c r="AM9" s="51" t="s">
        <v>478</v>
      </c>
      <c r="AN9" s="51" t="s">
        <v>455</v>
      </c>
      <c r="AQ9" s="54" t="s">
        <v>69</v>
      </c>
      <c r="AR9" s="35">
        <f>COUNTIFS($L:$L,AR$2,$B:$B,$AQ9)</f>
        <v>11</v>
      </c>
      <c r="AS9" s="35">
        <f>COUNTIFS($L:$L,AS$2,$B:$B,$AQ9)</f>
        <v>2</v>
      </c>
      <c r="AT9" s="35">
        <f>COUNTIFS($L:$L,AT$2,$B:$B,$AQ9)</f>
        <v>1</v>
      </c>
      <c r="AU9" s="35">
        <f>COUNTIFS($L:$L,AU$2,$B:$B,$AQ9)</f>
        <v>0</v>
      </c>
      <c r="AX9" s="2" t="s">
        <v>480</v>
      </c>
      <c r="AY9" s="2" t="s">
        <v>480</v>
      </c>
      <c r="AZ9" s="2" t="s">
        <v>480</v>
      </c>
      <c r="BA9" s="2" t="s">
        <v>480</v>
      </c>
      <c r="BB9" s="2" t="s">
        <v>480</v>
      </c>
      <c r="BC9" s="2" t="s">
        <v>480</v>
      </c>
      <c r="BD9" s="2" t="s">
        <v>480</v>
      </c>
      <c r="BE9" s="2" t="s">
        <v>480</v>
      </c>
      <c r="BF9" s="2" t="s">
        <v>480</v>
      </c>
      <c r="BG9" s="2" t="s">
        <v>480</v>
      </c>
      <c r="BH9" s="2" t="s">
        <v>480</v>
      </c>
      <c r="BI9" s="2" t="s">
        <v>480</v>
      </c>
      <c r="BJ9" s="2" t="s">
        <v>480</v>
      </c>
    </row>
    <row r="10" customHeight="1" spans="1:62">
      <c r="A10" s="35">
        <v>101</v>
      </c>
      <c r="B10" s="40" t="s">
        <v>17</v>
      </c>
      <c r="C10" s="40"/>
      <c r="D10" s="41" t="s">
        <v>356</v>
      </c>
      <c r="E10" s="35">
        <v>1</v>
      </c>
      <c r="F10" s="35">
        <v>1</v>
      </c>
      <c r="G10" s="35">
        <f>IF(F10&lt;1,F10*$G$7,1)</f>
        <v>1</v>
      </c>
      <c r="H10" s="35">
        <v>1</v>
      </c>
      <c r="I10" s="35">
        <v>1</v>
      </c>
      <c r="J10" s="35">
        <v>1</v>
      </c>
      <c r="K10" s="35">
        <v>1</v>
      </c>
      <c r="L10" s="35">
        <v>1</v>
      </c>
      <c r="M10" s="35" t="s">
        <v>136</v>
      </c>
      <c r="N10">
        <f>INDEX($C$2:$C$5,MATCH(E10,$B$2:$B$5,0))</f>
        <v>13500</v>
      </c>
      <c r="O10" s="35">
        <v>1</v>
      </c>
      <c r="P10" s="24">
        <f>ROUND(INDEX($C$2:$C$5,MATCH($E10,$B$2:$B$5,0))*$F10/SUMIFS($F:$F,$E:$E,$E10,$B:$B,$B10,O:O,1)*IF(B10=$B$10,0.9,1)*$D$2,0)</f>
        <v>2835</v>
      </c>
      <c r="Q10" s="24">
        <f>IF($L10&lt;=Q$8,1,0)</f>
        <v>1</v>
      </c>
      <c r="R10" s="24">
        <f>ROUND(INDEX($C$2:$C$5,MATCH($E10,$B$2:$B$5,0))*$I10/SUMIFS($I:$I,$E:$E,$E10,$B:$B,$B10,Q:Q,1)*IF(B10=$B$10,0.9,1)*$D$2,0)</f>
        <v>2835</v>
      </c>
      <c r="S10" s="24">
        <f t="shared" ref="Q10:U10" si="0">IF($L10&lt;=S$8,1,0)</f>
        <v>1</v>
      </c>
      <c r="T10" s="24">
        <f>ROUND(INDEX($C$2:$C$5,MATCH($E10,$B$2:$B$5,0))*$J10/SUMIFS($J:$J,$E:$E,$E10,$B:$B,$B10,S:S,1)*IF(B10=$B$10,0.9,1)*$D$2,0)</f>
        <v>2835</v>
      </c>
      <c r="U10" s="24">
        <f t="shared" si="0"/>
        <v>1</v>
      </c>
      <c r="V10" s="24">
        <f>ROUND(INDEX($C$2:$C$5,MATCH($E10,$B$2:$B$5,0))*$K10/SUMIFS($K:$K,$E:$E,$E10,$B:$B,$B10,U:U,1)*IF(B10=$B$10,0.9,1)*$D$2,0)</f>
        <v>2835</v>
      </c>
      <c r="W10" s="24">
        <f t="shared" ref="W10:AA10" si="1">IF($L10&lt;=W$8,1,0)</f>
        <v>1</v>
      </c>
      <c r="X10" s="24">
        <f>ROUND(INDEX($C$2:$C$5,MATCH($E10,$B$2:$B$5,0))*$F10/SUMIFS($F:$F,$E:$E,$E10,$B:$B,$B10,W:W,1)*IF(B10=$B$10,0.9,1)*$D$2,0)</f>
        <v>2835</v>
      </c>
      <c r="Y10" s="24">
        <f t="shared" si="1"/>
        <v>1</v>
      </c>
      <c r="Z10" s="24">
        <f>ROUND(INDEX($C$2:$C$5,MATCH($E10,$B$2:$B$5,0))*$G10/SUMIFS($G:$G,$E:$E,$E10,$B:$B,$B10,Y:Y,1)*IF(B10=$B$10,0.9,1)*$D$2,0)</f>
        <v>2835</v>
      </c>
      <c r="AA10" s="24">
        <f t="shared" si="1"/>
        <v>1</v>
      </c>
      <c r="AB10" s="24">
        <f>ROUND(INDEX($C$2:$C$5,MATCH($E10,$B$2:$B$5,0))*$H10/SUMIFS($H:$H,$E:$E,$E10,$B:$B,$B10,AA:AA,1)*IF(B10=$B$10,0.9,1)*$D$2,0)</f>
        <v>2835</v>
      </c>
      <c r="AC10" s="24">
        <f t="shared" ref="AC10:AG10" si="2">IF($L10&lt;=AC$8,1,0)</f>
        <v>1</v>
      </c>
      <c r="AD10" s="24">
        <f>ROUND(INDEX($C$2:$C$5,MATCH($E10,$B$2:$B$5,0))*$F10/SUMIFS($F:$F,$E:$E,$E10,$B:$B,$B10,AC:AC,1)*IF(B10=$B$10,0.9,1)*$D$2,0)</f>
        <v>2835</v>
      </c>
      <c r="AE10" s="24">
        <f t="shared" si="2"/>
        <v>1</v>
      </c>
      <c r="AF10" s="24">
        <f>ROUND(INDEX($C$2:$C$5,MATCH($E10,$B$2:$B$5,0))*$G10/SUMIFS($G:$G,$E:$E,$E10,$B:$B,$B10,AE:AE,1)*IF(B10=$B$10,0.9,1)*$D$2,0)</f>
        <v>2835</v>
      </c>
      <c r="AG10" s="24">
        <f t="shared" si="2"/>
        <v>1</v>
      </c>
      <c r="AH10" s="24">
        <f>ROUND(INDEX($C$2:$C$5,MATCH($E10,$B$2:$B$5,0))*$H10/SUMIFS($H:$H,$E:$E,$E10,$B:$B,$B10,AG:AG,1)*IF(B10=$B$10,0.9,1)*$D$2,0)</f>
        <v>2835</v>
      </c>
      <c r="AI10" s="24">
        <f t="shared" ref="AI10:AM10" si="3">IF($L10&lt;=AI$8,1,0)</f>
        <v>1</v>
      </c>
      <c r="AJ10" s="24">
        <f>ROUND(INDEX($C$2:$C$5,MATCH($E10,$B$2:$B$5,0))*$F10/SUMIFS($F:$F,$E:$E,$E10,$B:$B,$B10,AI:AI,1)*IF(B10=$B$10,0.9,1)*$D$2,0)</f>
        <v>2835</v>
      </c>
      <c r="AK10" s="24">
        <f t="shared" si="3"/>
        <v>1</v>
      </c>
      <c r="AL10" s="24">
        <f>ROUND(INDEX($C$2:$C$5,MATCH($E10,$B$2:$B$5,0))*$G10/SUMIFS($G:$G,$E:$E,$E10,$B:$B,$B10,AK:AK,1)*IF(B10=$B$10,0.9,1)*$D$2,0)</f>
        <v>2835</v>
      </c>
      <c r="AM10" s="24">
        <f t="shared" si="3"/>
        <v>1</v>
      </c>
      <c r="AN10" s="24">
        <f>ROUND(INDEX($C$2:$C$5,MATCH($E10,$B$2:$B$5,0))*$H10/SUMIFS($H:$H,$E:$E,$E10,$B:$B,$B10,AM:AM,1)*IF(B10=$B$10,0.9,1)*$D$2,0)</f>
        <v>2835</v>
      </c>
      <c r="AQ10" s="54" t="s">
        <v>75</v>
      </c>
      <c r="AR10" s="35">
        <f>COUNTIFS($L:$L,AR$2,$B:$B,$AQ10)</f>
        <v>12</v>
      </c>
      <c r="AS10" s="35">
        <f>COUNTIFS($L:$L,AS$2,$B:$B,$AQ10)</f>
        <v>1</v>
      </c>
      <c r="AT10" s="35">
        <f>COUNTIFS($L:$L,AT$2,$B:$B,$AQ10)</f>
        <v>1</v>
      </c>
      <c r="AU10" s="35">
        <f>COUNTIFS($L:$L,AU$2,$B:$B,$AQ10)</f>
        <v>0</v>
      </c>
      <c r="AX10" s="4" t="str">
        <f t="shared" ref="AX10:AX73" si="4">_xlfn.TEXTJOIN(",",TRUE,O10:P10)</f>
        <v>1,2835</v>
      </c>
      <c r="AY10" s="4" t="str">
        <f t="shared" ref="AY10:AY73" si="5">_xlfn.TEXTJOIN(",",TRUE,Q10:R10)</f>
        <v>1,2835</v>
      </c>
      <c r="AZ10" s="4" t="str">
        <f t="shared" ref="AZ10:AZ73" si="6">_xlfn.TEXTJOIN(",",TRUE,S10:T10)</f>
        <v>1,2835</v>
      </c>
      <c r="BA10" s="4" t="str">
        <f t="shared" ref="BA10:BA73" si="7">_xlfn.TEXTJOIN(",",TRUE,U10:V10)</f>
        <v>1,2835</v>
      </c>
      <c r="BB10" s="4" t="str">
        <f t="shared" ref="BB10:BB73" si="8">_xlfn.TEXTJOIN(",",TRUE,W10:X10)</f>
        <v>1,2835</v>
      </c>
      <c r="BC10" s="4" t="str">
        <f t="shared" ref="BC10:BC73" si="9">_xlfn.TEXTJOIN(",",TRUE,Y10:Z10)</f>
        <v>1,2835</v>
      </c>
      <c r="BD10" s="4" t="str">
        <f t="shared" ref="BD10:BD73" si="10">_xlfn.TEXTJOIN(",",TRUE,AA10:AB10)</f>
        <v>1,2835</v>
      </c>
      <c r="BE10" s="4" t="str">
        <f t="shared" ref="BE10:BE73" si="11">_xlfn.TEXTJOIN(",",TRUE,AC10:AD10)</f>
        <v>1,2835</v>
      </c>
      <c r="BF10" s="4" t="str">
        <f t="shared" ref="BF10:BF73" si="12">_xlfn.TEXTJOIN(",",TRUE,AE10:AF10)</f>
        <v>1,2835</v>
      </c>
      <c r="BG10" s="4" t="str">
        <f t="shared" ref="BG10:BG73" si="13">_xlfn.TEXTJOIN(",",TRUE,AG10:AH10)</f>
        <v>1,2835</v>
      </c>
      <c r="BH10" s="4" t="str">
        <f t="shared" ref="BH10:BH73" si="14">_xlfn.TEXTJOIN(",",TRUE,AI10:AJ10)</f>
        <v>1,2835</v>
      </c>
      <c r="BI10" s="4" t="str">
        <f t="shared" ref="BI10:BI73" si="15">_xlfn.TEXTJOIN(",",TRUE,AK10:AL10)</f>
        <v>1,2835</v>
      </c>
      <c r="BJ10" s="4" t="str">
        <f t="shared" ref="BJ10:BJ73" si="16">_xlfn.TEXTJOIN(",",TRUE,AM10:AN10)</f>
        <v>1,2835</v>
      </c>
    </row>
    <row r="11" customHeight="1" spans="1:62">
      <c r="A11" s="42">
        <v>102</v>
      </c>
      <c r="B11" s="40" t="s">
        <v>17</v>
      </c>
      <c r="C11" s="40"/>
      <c r="D11" s="41" t="s">
        <v>357</v>
      </c>
      <c r="E11" s="43">
        <v>1</v>
      </c>
      <c r="F11" s="35">
        <v>1</v>
      </c>
      <c r="G11" s="35">
        <f t="shared" ref="G11:G74" si="17">IF(F11&lt;1,F11*$G$7,1)</f>
        <v>1</v>
      </c>
      <c r="H11" s="35">
        <v>1</v>
      </c>
      <c r="I11" s="35">
        <v>1</v>
      </c>
      <c r="J11" s="35">
        <v>1</v>
      </c>
      <c r="K11" s="35">
        <v>1</v>
      </c>
      <c r="L11" s="35">
        <v>1</v>
      </c>
      <c r="M11" s="35" t="s">
        <v>136</v>
      </c>
      <c r="N11">
        <f t="shared" ref="N11:N74" si="18">INDEX($C$2:$C$5,MATCH(E11,$B$2:$B$5,0))</f>
        <v>13500</v>
      </c>
      <c r="O11" s="35">
        <v>1</v>
      </c>
      <c r="P11" s="24">
        <f t="shared" ref="P11:P26" si="19">ROUND(INDEX($C$2:$C$5,MATCH($E11,$B$2:$B$5,0))*$F11/SUMIFS($F:$F,$E:$E,$E11,$B:$B,$B11,O:O,1)*IF(B11=$B$10,0.9,1)*$D$2,0)</f>
        <v>2835</v>
      </c>
      <c r="Q11" s="24">
        <f t="shared" ref="Q11:U11" si="20">IF($L11&lt;=Q$8,1,0)</f>
        <v>1</v>
      </c>
      <c r="R11" s="24">
        <f t="shared" ref="R11:R26" si="21">ROUND(INDEX($C$2:$C$5,MATCH($E11,$B$2:$B$5,0))*$I11/SUMIFS($I:$I,$E:$E,$E11,$B:$B,$B11,Q:Q,1)*IF(B11=$B$10,0.9,1)*$D$2,0)</f>
        <v>2835</v>
      </c>
      <c r="S11" s="24">
        <f t="shared" si="20"/>
        <v>1</v>
      </c>
      <c r="T11" s="24">
        <f t="shared" ref="T11:T26" si="22">ROUND(INDEX($C$2:$C$5,MATCH($E11,$B$2:$B$5,0))*$J11/SUMIFS($J:$J,$E:$E,$E11,$B:$B,$B11,S:S,1)*IF(B11=$B$10,0.9,1)*$D$2,0)</f>
        <v>2835</v>
      </c>
      <c r="U11" s="24">
        <f t="shared" si="20"/>
        <v>1</v>
      </c>
      <c r="V11" s="24">
        <f t="shared" ref="V11:V26" si="23">ROUND(INDEX($C$2:$C$5,MATCH($E11,$B$2:$B$5,0))*$K11/SUMIFS($K:$K,$E:$E,$E11,$B:$B,$B11,U:U,1)*IF(B11=$B$10,0.9,1)*$D$2,0)</f>
        <v>2835</v>
      </c>
      <c r="W11" s="24">
        <f t="shared" ref="W11:AA11" si="24">IF($L11&lt;=W$8,1,0)</f>
        <v>1</v>
      </c>
      <c r="X11" s="24">
        <f t="shared" ref="X11:X26" si="25">ROUND(INDEX($C$2:$C$5,MATCH($E11,$B$2:$B$5,0))*$F11/SUMIFS($F:$F,$E:$E,$E11,$B:$B,$B11,W:W,1)*IF(B11=$B$10,0.9,1)*$D$2,0)</f>
        <v>2835</v>
      </c>
      <c r="Y11" s="24">
        <f t="shared" si="24"/>
        <v>1</v>
      </c>
      <c r="Z11" s="24">
        <f t="shared" ref="Z11:Z26" si="26">ROUND(INDEX($C$2:$C$5,MATCH($E11,$B$2:$B$5,0))*$G11/SUMIFS($G:$G,$E:$E,$E11,$B:$B,$B11,Y:Y,1)*IF(B11=$B$10,0.9,1)*$D$2,0)</f>
        <v>2835</v>
      </c>
      <c r="AA11" s="24">
        <f t="shared" si="24"/>
        <v>1</v>
      </c>
      <c r="AB11" s="24">
        <f t="shared" ref="AB11:AB26" si="27">ROUND(INDEX($C$2:$C$5,MATCH($E11,$B$2:$B$5,0))*$H11/SUMIFS($H:$H,$E:$E,$E11,$B:$B,$B11,AA:AA,1)*IF(B11=$B$10,0.9,1)*$D$2,0)</f>
        <v>2835</v>
      </c>
      <c r="AC11" s="24">
        <f t="shared" ref="AC11:AG11" si="28">IF($L11&lt;=AC$8,1,0)</f>
        <v>1</v>
      </c>
      <c r="AD11" s="24">
        <f t="shared" ref="AD11:AD26" si="29">ROUND(INDEX($C$2:$C$5,MATCH($E11,$B$2:$B$5,0))*$F11/SUMIFS($F:$F,$E:$E,$E11,$B:$B,$B11,AC:AC,1)*IF(B11=$B$10,0.9,1)*$D$2,0)</f>
        <v>2835</v>
      </c>
      <c r="AE11" s="24">
        <f t="shared" si="28"/>
        <v>1</v>
      </c>
      <c r="AF11" s="24">
        <f t="shared" ref="AF11:AF26" si="30">ROUND(INDEX($C$2:$C$5,MATCH($E11,$B$2:$B$5,0))*$G11/SUMIFS($G:$G,$E:$E,$E11,$B:$B,$B11,AE:AE,1)*IF(B11=$B$10,0.9,1)*$D$2,0)</f>
        <v>2835</v>
      </c>
      <c r="AG11" s="24">
        <f t="shared" si="28"/>
        <v>1</v>
      </c>
      <c r="AH11" s="24">
        <f t="shared" ref="AH11:AH26" si="31">ROUND(INDEX($C$2:$C$5,MATCH($E11,$B$2:$B$5,0))*$H11/SUMIFS($H:$H,$E:$E,$E11,$B:$B,$B11,AG:AG,1)*IF(B11=$B$10,0.9,1)*$D$2,0)</f>
        <v>2835</v>
      </c>
      <c r="AI11" s="24">
        <f t="shared" ref="AI11:AM11" si="32">IF($L11&lt;=AI$8,1,0)</f>
        <v>1</v>
      </c>
      <c r="AJ11" s="24">
        <f t="shared" ref="AJ11:AJ26" si="33">ROUND(INDEX($C$2:$C$5,MATCH($E11,$B$2:$B$5,0))*$F11/SUMIFS($F:$F,$E:$E,$E11,$B:$B,$B11,AI:AI,1)*IF(B11=$B$10,0.9,1)*$D$2,0)</f>
        <v>2835</v>
      </c>
      <c r="AK11" s="24">
        <f t="shared" si="32"/>
        <v>1</v>
      </c>
      <c r="AL11" s="24">
        <f t="shared" ref="AL11:AL26" si="34">ROUND(INDEX($C$2:$C$5,MATCH($E11,$B$2:$B$5,0))*$G11/SUMIFS($G:$G,$E:$E,$E11,$B:$B,$B11,AK:AK,1)*IF(B11=$B$10,0.9,1)*$D$2,0)</f>
        <v>2835</v>
      </c>
      <c r="AM11" s="24">
        <f t="shared" si="32"/>
        <v>1</v>
      </c>
      <c r="AN11" s="24">
        <f t="shared" ref="AN11:AN20" si="35">ROUND(INDEX($C$2:$C$5,MATCH($E11,$B$2:$B$5,0))*$H11/SUMIFS($H:$H,$E:$E,$E11,$B:$B,$B11,AM:AM,1)*IF(B11=$B$10,0.9,1)*$D$2,0)</f>
        <v>2835</v>
      </c>
      <c r="AQ11" s="54" t="s">
        <v>81</v>
      </c>
      <c r="AR11" s="35">
        <f>COUNTIFS($L:$L,AR$2,$B:$B,$AQ11)</f>
        <v>14</v>
      </c>
      <c r="AS11" s="35">
        <f>COUNTIFS($L:$L,AS$2,$B:$B,$AQ11)</f>
        <v>2</v>
      </c>
      <c r="AT11" s="35">
        <f>COUNTIFS($L:$L,AT$2,$B:$B,$AQ11)</f>
        <v>1</v>
      </c>
      <c r="AU11" s="35">
        <f>COUNTIFS($L:$L,AU$2,$B:$B,$AQ11)</f>
        <v>0</v>
      </c>
      <c r="AX11" s="4" t="str">
        <f t="shared" si="4"/>
        <v>1,2835</v>
      </c>
      <c r="AY11" s="4" t="str">
        <f t="shared" si="5"/>
        <v>1,2835</v>
      </c>
      <c r="AZ11" s="4" t="str">
        <f t="shared" si="6"/>
        <v>1,2835</v>
      </c>
      <c r="BA11" s="4" t="str">
        <f t="shared" si="7"/>
        <v>1,2835</v>
      </c>
      <c r="BB11" s="4" t="str">
        <f t="shared" si="8"/>
        <v>1,2835</v>
      </c>
      <c r="BC11" s="4" t="str">
        <f t="shared" si="9"/>
        <v>1,2835</v>
      </c>
      <c r="BD11" s="4" t="str">
        <f t="shared" si="10"/>
        <v>1,2835</v>
      </c>
      <c r="BE11" s="4" t="str">
        <f t="shared" si="11"/>
        <v>1,2835</v>
      </c>
      <c r="BF11" s="4" t="str">
        <f t="shared" si="12"/>
        <v>1,2835</v>
      </c>
      <c r="BG11" s="4" t="str">
        <f t="shared" si="13"/>
        <v>1,2835</v>
      </c>
      <c r="BH11" s="4" t="str">
        <f t="shared" si="14"/>
        <v>1,2835</v>
      </c>
      <c r="BI11" s="4" t="str">
        <f t="shared" si="15"/>
        <v>1,2835</v>
      </c>
      <c r="BJ11" s="4" t="str">
        <f t="shared" si="16"/>
        <v>1,2835</v>
      </c>
    </row>
    <row r="12" customHeight="1" spans="1:62">
      <c r="A12" s="35">
        <v>103</v>
      </c>
      <c r="B12" s="40" t="s">
        <v>17</v>
      </c>
      <c r="C12" s="40"/>
      <c r="D12" s="41" t="s">
        <v>361</v>
      </c>
      <c r="E12" s="43">
        <v>1</v>
      </c>
      <c r="F12" s="35">
        <v>1</v>
      </c>
      <c r="G12" s="35">
        <f t="shared" si="17"/>
        <v>1</v>
      </c>
      <c r="H12" s="35">
        <v>1</v>
      </c>
      <c r="I12" s="35">
        <v>1</v>
      </c>
      <c r="J12" s="35">
        <v>1</v>
      </c>
      <c r="K12" s="35">
        <v>1</v>
      </c>
      <c r="L12" s="35">
        <v>1</v>
      </c>
      <c r="M12" s="35"/>
      <c r="N12">
        <f t="shared" si="18"/>
        <v>13500</v>
      </c>
      <c r="O12" s="35">
        <v>1</v>
      </c>
      <c r="P12" s="24">
        <f t="shared" si="19"/>
        <v>2835</v>
      </c>
      <c r="Q12" s="24">
        <f t="shared" ref="Q12:U12" si="36">IF($L12&lt;=Q$8,1,0)</f>
        <v>1</v>
      </c>
      <c r="R12" s="24">
        <f t="shared" si="21"/>
        <v>2835</v>
      </c>
      <c r="S12" s="24">
        <f t="shared" si="36"/>
        <v>1</v>
      </c>
      <c r="T12" s="24">
        <f t="shared" si="22"/>
        <v>2835</v>
      </c>
      <c r="U12" s="24">
        <f t="shared" si="36"/>
        <v>1</v>
      </c>
      <c r="V12" s="24">
        <f t="shared" si="23"/>
        <v>2835</v>
      </c>
      <c r="W12" s="24">
        <f t="shared" ref="W12:AA12" si="37">IF($L12&lt;=W$8,1,0)</f>
        <v>1</v>
      </c>
      <c r="X12" s="24">
        <f t="shared" si="25"/>
        <v>2835</v>
      </c>
      <c r="Y12" s="24">
        <f t="shared" si="37"/>
        <v>1</v>
      </c>
      <c r="Z12" s="24">
        <f t="shared" si="26"/>
        <v>2835</v>
      </c>
      <c r="AA12" s="24">
        <f t="shared" si="37"/>
        <v>1</v>
      </c>
      <c r="AB12" s="24">
        <f t="shared" si="27"/>
        <v>2835</v>
      </c>
      <c r="AC12" s="24">
        <f t="shared" ref="AC12:AG12" si="38">IF($L12&lt;=AC$8,1,0)</f>
        <v>1</v>
      </c>
      <c r="AD12" s="24">
        <f t="shared" si="29"/>
        <v>2835</v>
      </c>
      <c r="AE12" s="24">
        <f t="shared" si="38"/>
        <v>1</v>
      </c>
      <c r="AF12" s="24">
        <f t="shared" si="30"/>
        <v>2835</v>
      </c>
      <c r="AG12" s="24">
        <f t="shared" si="38"/>
        <v>1</v>
      </c>
      <c r="AH12" s="24">
        <f t="shared" si="31"/>
        <v>2835</v>
      </c>
      <c r="AI12" s="24">
        <f t="shared" ref="AI12:AM12" si="39">IF($L12&lt;=AI$8,1,0)</f>
        <v>1</v>
      </c>
      <c r="AJ12" s="24">
        <f t="shared" si="33"/>
        <v>2835</v>
      </c>
      <c r="AK12" s="24">
        <f t="shared" si="39"/>
        <v>1</v>
      </c>
      <c r="AL12" s="24">
        <f t="shared" si="34"/>
        <v>2835</v>
      </c>
      <c r="AM12" s="24">
        <f t="shared" si="39"/>
        <v>1</v>
      </c>
      <c r="AN12" s="24">
        <f t="shared" si="35"/>
        <v>2835</v>
      </c>
      <c r="AQ12" s="55" t="s">
        <v>87</v>
      </c>
      <c r="AR12" s="35">
        <f>COUNTIFS($L:$L,AR$2,$B:$B,$AQ12)</f>
        <v>15</v>
      </c>
      <c r="AS12" s="35">
        <f>COUNTIFS($L:$L,AS$2,$B:$B,$AQ12)</f>
        <v>1</v>
      </c>
      <c r="AT12" s="35">
        <f>COUNTIFS($L:$L,AT$2,$B:$B,$AQ12)</f>
        <v>1</v>
      </c>
      <c r="AU12" s="35">
        <f>COUNTIFS($L:$L,AU$2,$B:$B,$AQ12)</f>
        <v>0</v>
      </c>
      <c r="AX12" s="4" t="str">
        <f t="shared" si="4"/>
        <v>1,2835</v>
      </c>
      <c r="AY12" s="4" t="str">
        <f t="shared" si="5"/>
        <v>1,2835</v>
      </c>
      <c r="AZ12" s="4" t="str">
        <f t="shared" si="6"/>
        <v>1,2835</v>
      </c>
      <c r="BA12" s="4" t="str">
        <f t="shared" si="7"/>
        <v>1,2835</v>
      </c>
      <c r="BB12" s="4" t="str">
        <f t="shared" si="8"/>
        <v>1,2835</v>
      </c>
      <c r="BC12" s="4" t="str">
        <f t="shared" si="9"/>
        <v>1,2835</v>
      </c>
      <c r="BD12" s="4" t="str">
        <f t="shared" si="10"/>
        <v>1,2835</v>
      </c>
      <c r="BE12" s="4" t="str">
        <f t="shared" si="11"/>
        <v>1,2835</v>
      </c>
      <c r="BF12" s="4" t="str">
        <f t="shared" si="12"/>
        <v>1,2835</v>
      </c>
      <c r="BG12" s="4" t="str">
        <f t="shared" si="13"/>
        <v>1,2835</v>
      </c>
      <c r="BH12" s="4" t="str">
        <f t="shared" si="14"/>
        <v>1,2835</v>
      </c>
      <c r="BI12" s="4" t="str">
        <f t="shared" si="15"/>
        <v>1,2835</v>
      </c>
      <c r="BJ12" s="4" t="str">
        <f t="shared" si="16"/>
        <v>1,2835</v>
      </c>
    </row>
    <row r="13" customHeight="1" spans="1:62">
      <c r="A13" s="35">
        <v>111</v>
      </c>
      <c r="B13" s="40" t="s">
        <v>17</v>
      </c>
      <c r="C13" s="40"/>
      <c r="D13" s="44" t="s">
        <v>362</v>
      </c>
      <c r="E13" s="43">
        <v>2</v>
      </c>
      <c r="F13" s="35">
        <v>1</v>
      </c>
      <c r="G13" s="35">
        <f t="shared" si="17"/>
        <v>1</v>
      </c>
      <c r="H13" s="35">
        <v>1</v>
      </c>
      <c r="I13" s="35">
        <v>1</v>
      </c>
      <c r="J13" s="35">
        <v>1</v>
      </c>
      <c r="K13" s="35">
        <v>1</v>
      </c>
      <c r="L13" s="35">
        <v>1</v>
      </c>
      <c r="M13" s="35"/>
      <c r="N13">
        <f t="shared" si="18"/>
        <v>4500</v>
      </c>
      <c r="O13" s="35">
        <v>1</v>
      </c>
      <c r="P13" s="24">
        <f t="shared" si="19"/>
        <v>473</v>
      </c>
      <c r="Q13" s="24">
        <f t="shared" ref="Q13:U13" si="40">IF($L13&lt;=Q$8,1,0)</f>
        <v>1</v>
      </c>
      <c r="R13" s="24">
        <f t="shared" si="21"/>
        <v>567</v>
      </c>
      <c r="S13" s="24">
        <f t="shared" si="40"/>
        <v>1</v>
      </c>
      <c r="T13" s="24">
        <f t="shared" si="22"/>
        <v>567</v>
      </c>
      <c r="U13" s="24">
        <f t="shared" si="40"/>
        <v>1</v>
      </c>
      <c r="V13" s="24">
        <f t="shared" si="23"/>
        <v>567</v>
      </c>
      <c r="W13" s="24">
        <f t="shared" ref="W13:AA13" si="41">IF($L13&lt;=W$8,1,0)</f>
        <v>1</v>
      </c>
      <c r="X13" s="24">
        <f t="shared" si="25"/>
        <v>473</v>
      </c>
      <c r="Y13" s="24">
        <f t="shared" si="41"/>
        <v>1</v>
      </c>
      <c r="Z13" s="24">
        <f t="shared" si="26"/>
        <v>473</v>
      </c>
      <c r="AA13" s="24">
        <f t="shared" si="41"/>
        <v>1</v>
      </c>
      <c r="AB13" s="24">
        <f t="shared" si="27"/>
        <v>473</v>
      </c>
      <c r="AC13" s="24">
        <f t="shared" ref="AC13:AG13" si="42">IF($L13&lt;=AC$8,1,0)</f>
        <v>1</v>
      </c>
      <c r="AD13" s="24">
        <f t="shared" si="29"/>
        <v>473</v>
      </c>
      <c r="AE13" s="24">
        <f t="shared" si="42"/>
        <v>1</v>
      </c>
      <c r="AF13" s="24">
        <f t="shared" si="30"/>
        <v>473</v>
      </c>
      <c r="AG13" s="24">
        <f t="shared" si="42"/>
        <v>1</v>
      </c>
      <c r="AH13" s="24">
        <f t="shared" si="31"/>
        <v>473</v>
      </c>
      <c r="AI13" s="24">
        <f t="shared" ref="AI13:AM13" si="43">IF($L13&lt;=AI$8,1,0)</f>
        <v>1</v>
      </c>
      <c r="AJ13" s="24">
        <f t="shared" si="33"/>
        <v>473</v>
      </c>
      <c r="AK13" s="24">
        <f t="shared" si="43"/>
        <v>1</v>
      </c>
      <c r="AL13" s="24">
        <f t="shared" si="34"/>
        <v>473</v>
      </c>
      <c r="AM13" s="24">
        <f t="shared" si="43"/>
        <v>1</v>
      </c>
      <c r="AN13" s="24">
        <f t="shared" si="35"/>
        <v>473</v>
      </c>
      <c r="AQ13" s="54" t="s">
        <v>93</v>
      </c>
      <c r="AR13" s="35">
        <f>COUNTIFS($L:$L,AR$2,$B:$B,$AQ13)</f>
        <v>14</v>
      </c>
      <c r="AS13" s="35">
        <f>COUNTIFS($L:$L,AS$2,$B:$B,$AQ13)</f>
        <v>2</v>
      </c>
      <c r="AT13" s="35">
        <f>COUNTIFS($L:$L,AT$2,$B:$B,$AQ13)</f>
        <v>1</v>
      </c>
      <c r="AU13" s="35">
        <f>COUNTIFS($L:$L,AU$2,$B:$B,$AQ13)</f>
        <v>0</v>
      </c>
      <c r="AX13" s="4" t="str">
        <f t="shared" si="4"/>
        <v>1,473</v>
      </c>
      <c r="AY13" s="4" t="str">
        <f t="shared" si="5"/>
        <v>1,567</v>
      </c>
      <c r="AZ13" s="4" t="str">
        <f t="shared" si="6"/>
        <v>1,567</v>
      </c>
      <c r="BA13" s="4" t="str">
        <f t="shared" si="7"/>
        <v>1,567</v>
      </c>
      <c r="BB13" s="4" t="str">
        <f t="shared" si="8"/>
        <v>1,473</v>
      </c>
      <c r="BC13" s="4" t="str">
        <f t="shared" si="9"/>
        <v>1,473</v>
      </c>
      <c r="BD13" s="4" t="str">
        <f t="shared" si="10"/>
        <v>1,473</v>
      </c>
      <c r="BE13" s="4" t="str">
        <f t="shared" si="11"/>
        <v>1,473</v>
      </c>
      <c r="BF13" s="4" t="str">
        <f t="shared" si="12"/>
        <v>1,473</v>
      </c>
      <c r="BG13" s="4" t="str">
        <f t="shared" si="13"/>
        <v>1,473</v>
      </c>
      <c r="BH13" s="4" t="str">
        <f t="shared" si="14"/>
        <v>1,473</v>
      </c>
      <c r="BI13" s="4" t="str">
        <f t="shared" si="15"/>
        <v>1,473</v>
      </c>
      <c r="BJ13" s="4" t="str">
        <f t="shared" si="16"/>
        <v>1,473</v>
      </c>
    </row>
    <row r="14" customHeight="1" spans="1:62">
      <c r="A14" s="42">
        <v>112</v>
      </c>
      <c r="B14" s="40" t="s">
        <v>17</v>
      </c>
      <c r="C14" s="40"/>
      <c r="D14" s="44" t="s">
        <v>363</v>
      </c>
      <c r="E14" s="43">
        <v>2</v>
      </c>
      <c r="F14" s="35">
        <v>1</v>
      </c>
      <c r="G14" s="35">
        <f t="shared" si="17"/>
        <v>1</v>
      </c>
      <c r="H14" s="35">
        <v>1</v>
      </c>
      <c r="I14" s="35">
        <v>1</v>
      </c>
      <c r="J14" s="35">
        <v>1</v>
      </c>
      <c r="K14" s="35">
        <v>1</v>
      </c>
      <c r="L14" s="35">
        <v>1</v>
      </c>
      <c r="M14" s="35" t="s">
        <v>136</v>
      </c>
      <c r="N14">
        <f t="shared" si="18"/>
        <v>4500</v>
      </c>
      <c r="O14" s="35">
        <v>1</v>
      </c>
      <c r="P14" s="24">
        <f t="shared" si="19"/>
        <v>473</v>
      </c>
      <c r="Q14" s="24">
        <f t="shared" ref="Q14:U14" si="44">IF($L14&lt;=Q$8,1,0)</f>
        <v>1</v>
      </c>
      <c r="R14" s="24">
        <f t="shared" si="21"/>
        <v>567</v>
      </c>
      <c r="S14" s="24">
        <f t="shared" si="44"/>
        <v>1</v>
      </c>
      <c r="T14" s="24">
        <f t="shared" si="22"/>
        <v>567</v>
      </c>
      <c r="U14" s="24">
        <f t="shared" si="44"/>
        <v>1</v>
      </c>
      <c r="V14" s="24">
        <f t="shared" si="23"/>
        <v>567</v>
      </c>
      <c r="W14" s="24">
        <f t="shared" ref="W14:AA14" si="45">IF($L14&lt;=W$8,1,0)</f>
        <v>1</v>
      </c>
      <c r="X14" s="24">
        <f t="shared" si="25"/>
        <v>473</v>
      </c>
      <c r="Y14" s="24">
        <f t="shared" si="45"/>
        <v>1</v>
      </c>
      <c r="Z14" s="24">
        <f t="shared" si="26"/>
        <v>473</v>
      </c>
      <c r="AA14" s="24">
        <f t="shared" si="45"/>
        <v>1</v>
      </c>
      <c r="AB14" s="24">
        <f t="shared" si="27"/>
        <v>473</v>
      </c>
      <c r="AC14" s="24">
        <f t="shared" ref="AC14:AG14" si="46">IF($L14&lt;=AC$8,1,0)</f>
        <v>1</v>
      </c>
      <c r="AD14" s="24">
        <f t="shared" si="29"/>
        <v>473</v>
      </c>
      <c r="AE14" s="24">
        <f t="shared" si="46"/>
        <v>1</v>
      </c>
      <c r="AF14" s="24">
        <f t="shared" si="30"/>
        <v>473</v>
      </c>
      <c r="AG14" s="24">
        <f t="shared" si="46"/>
        <v>1</v>
      </c>
      <c r="AH14" s="24">
        <f t="shared" si="31"/>
        <v>473</v>
      </c>
      <c r="AI14" s="24">
        <f t="shared" ref="AI14:AM14" si="47">IF($L14&lt;=AI$8,1,0)</f>
        <v>1</v>
      </c>
      <c r="AJ14" s="24">
        <f t="shared" si="33"/>
        <v>473</v>
      </c>
      <c r="AK14" s="24">
        <f t="shared" si="47"/>
        <v>1</v>
      </c>
      <c r="AL14" s="24">
        <f t="shared" si="34"/>
        <v>473</v>
      </c>
      <c r="AM14" s="24">
        <f t="shared" si="47"/>
        <v>1</v>
      </c>
      <c r="AN14" s="24">
        <f t="shared" si="35"/>
        <v>473</v>
      </c>
      <c r="AQ14" s="54" t="s">
        <v>98</v>
      </c>
      <c r="AR14" s="35">
        <f>COUNTIFS($L:$L,AR$2,$B:$B,$AQ14)</f>
        <v>14</v>
      </c>
      <c r="AS14" s="35">
        <f>COUNTIFS($L:$L,AS$2,$B:$B,$AQ14)</f>
        <v>2</v>
      </c>
      <c r="AT14" s="35">
        <f>COUNTIFS($L:$L,AT$2,$B:$B,$AQ14)</f>
        <v>1</v>
      </c>
      <c r="AU14" s="35">
        <f>COUNTIFS($L:$L,AU$2,$B:$B,$AQ14)</f>
        <v>0</v>
      </c>
      <c r="AX14" s="4" t="str">
        <f t="shared" si="4"/>
        <v>1,473</v>
      </c>
      <c r="AY14" s="4" t="str">
        <f t="shared" si="5"/>
        <v>1,567</v>
      </c>
      <c r="AZ14" s="4" t="str">
        <f t="shared" si="6"/>
        <v>1,567</v>
      </c>
      <c r="BA14" s="4" t="str">
        <f t="shared" si="7"/>
        <v>1,567</v>
      </c>
      <c r="BB14" s="4" t="str">
        <f t="shared" si="8"/>
        <v>1,473</v>
      </c>
      <c r="BC14" s="4" t="str">
        <f t="shared" si="9"/>
        <v>1,473</v>
      </c>
      <c r="BD14" s="4" t="str">
        <f t="shared" si="10"/>
        <v>1,473</v>
      </c>
      <c r="BE14" s="4" t="str">
        <f t="shared" si="11"/>
        <v>1,473</v>
      </c>
      <c r="BF14" s="4" t="str">
        <f t="shared" si="12"/>
        <v>1,473</v>
      </c>
      <c r="BG14" s="4" t="str">
        <f t="shared" si="13"/>
        <v>1,473</v>
      </c>
      <c r="BH14" s="4" t="str">
        <f t="shared" si="14"/>
        <v>1,473</v>
      </c>
      <c r="BI14" s="4" t="str">
        <f t="shared" si="15"/>
        <v>1,473</v>
      </c>
      <c r="BJ14" s="4" t="str">
        <f t="shared" si="16"/>
        <v>1,473</v>
      </c>
    </row>
    <row r="15" customHeight="1" spans="1:62">
      <c r="A15" s="42">
        <v>113</v>
      </c>
      <c r="B15" s="40" t="s">
        <v>17</v>
      </c>
      <c r="C15" s="40"/>
      <c r="D15" s="44" t="s">
        <v>364</v>
      </c>
      <c r="E15" s="43">
        <v>2</v>
      </c>
      <c r="F15" s="35">
        <v>1</v>
      </c>
      <c r="G15" s="35">
        <f t="shared" si="17"/>
        <v>1</v>
      </c>
      <c r="H15" s="35">
        <v>1</v>
      </c>
      <c r="I15" s="35">
        <v>1</v>
      </c>
      <c r="J15" s="35">
        <v>1</v>
      </c>
      <c r="K15" s="35">
        <v>1</v>
      </c>
      <c r="L15" s="35">
        <v>1</v>
      </c>
      <c r="M15" s="35" t="s">
        <v>136</v>
      </c>
      <c r="N15">
        <f t="shared" si="18"/>
        <v>4500</v>
      </c>
      <c r="O15" s="35">
        <v>1</v>
      </c>
      <c r="P15" s="24">
        <f t="shared" si="19"/>
        <v>473</v>
      </c>
      <c r="Q15" s="24">
        <f t="shared" ref="Q15:U15" si="48">IF($L15&lt;=Q$8,1,0)</f>
        <v>1</v>
      </c>
      <c r="R15" s="24">
        <f t="shared" si="21"/>
        <v>567</v>
      </c>
      <c r="S15" s="24">
        <f t="shared" si="48"/>
        <v>1</v>
      </c>
      <c r="T15" s="24">
        <f t="shared" si="22"/>
        <v>567</v>
      </c>
      <c r="U15" s="24">
        <f t="shared" si="48"/>
        <v>1</v>
      </c>
      <c r="V15" s="24">
        <f t="shared" si="23"/>
        <v>567</v>
      </c>
      <c r="W15" s="24">
        <f t="shared" ref="W15:AA15" si="49">IF($L15&lt;=W$8,1,0)</f>
        <v>1</v>
      </c>
      <c r="X15" s="24">
        <f t="shared" si="25"/>
        <v>473</v>
      </c>
      <c r="Y15" s="24">
        <f t="shared" si="49"/>
        <v>1</v>
      </c>
      <c r="Z15" s="24">
        <f t="shared" si="26"/>
        <v>473</v>
      </c>
      <c r="AA15" s="24">
        <f t="shared" si="49"/>
        <v>1</v>
      </c>
      <c r="AB15" s="24">
        <f t="shared" si="27"/>
        <v>473</v>
      </c>
      <c r="AC15" s="24">
        <f t="shared" ref="AC15:AG15" si="50">IF($L15&lt;=AC$8,1,0)</f>
        <v>1</v>
      </c>
      <c r="AD15" s="24">
        <f t="shared" si="29"/>
        <v>473</v>
      </c>
      <c r="AE15" s="24">
        <f t="shared" si="50"/>
        <v>1</v>
      </c>
      <c r="AF15" s="24">
        <f t="shared" si="30"/>
        <v>473</v>
      </c>
      <c r="AG15" s="24">
        <f t="shared" si="50"/>
        <v>1</v>
      </c>
      <c r="AH15" s="24">
        <f t="shared" si="31"/>
        <v>473</v>
      </c>
      <c r="AI15" s="24">
        <f t="shared" ref="AI15:AM15" si="51">IF($L15&lt;=AI$8,1,0)</f>
        <v>1</v>
      </c>
      <c r="AJ15" s="24">
        <f t="shared" si="33"/>
        <v>473</v>
      </c>
      <c r="AK15" s="24">
        <f t="shared" si="51"/>
        <v>1</v>
      </c>
      <c r="AL15" s="24">
        <f t="shared" si="34"/>
        <v>473</v>
      </c>
      <c r="AM15" s="24">
        <f t="shared" si="51"/>
        <v>1</v>
      </c>
      <c r="AN15" s="24">
        <f t="shared" si="35"/>
        <v>473</v>
      </c>
      <c r="AQ15" s="54" t="s">
        <v>104</v>
      </c>
      <c r="AR15" s="35">
        <f>COUNTIFS($L:$L,AR$2,$B:$B,$AQ15)</f>
        <v>14</v>
      </c>
      <c r="AS15" s="35">
        <f>COUNTIFS($L:$L,AS$2,$B:$B,$AQ15)</f>
        <v>2</v>
      </c>
      <c r="AT15" s="35">
        <f>COUNTIFS($L:$L,AT$2,$B:$B,$AQ15)</f>
        <v>1</v>
      </c>
      <c r="AU15" s="35">
        <f>COUNTIFS($L:$L,AU$2,$B:$B,$AQ15)</f>
        <v>0</v>
      </c>
      <c r="AX15" s="4" t="str">
        <f t="shared" si="4"/>
        <v>1,473</v>
      </c>
      <c r="AY15" s="4" t="str">
        <f t="shared" si="5"/>
        <v>1,567</v>
      </c>
      <c r="AZ15" s="4" t="str">
        <f t="shared" si="6"/>
        <v>1,567</v>
      </c>
      <c r="BA15" s="4" t="str">
        <f t="shared" si="7"/>
        <v>1,567</v>
      </c>
      <c r="BB15" s="4" t="str">
        <f t="shared" si="8"/>
        <v>1,473</v>
      </c>
      <c r="BC15" s="4" t="str">
        <f t="shared" si="9"/>
        <v>1,473</v>
      </c>
      <c r="BD15" s="4" t="str">
        <f t="shared" si="10"/>
        <v>1,473</v>
      </c>
      <c r="BE15" s="4" t="str">
        <f t="shared" si="11"/>
        <v>1,473</v>
      </c>
      <c r="BF15" s="4" t="str">
        <f t="shared" si="12"/>
        <v>1,473</v>
      </c>
      <c r="BG15" s="4" t="str">
        <f t="shared" si="13"/>
        <v>1,473</v>
      </c>
      <c r="BH15" s="4" t="str">
        <f t="shared" si="14"/>
        <v>1,473</v>
      </c>
      <c r="BI15" s="4" t="str">
        <f t="shared" si="15"/>
        <v>1,473</v>
      </c>
      <c r="BJ15" s="4" t="str">
        <f t="shared" si="16"/>
        <v>1,473</v>
      </c>
    </row>
    <row r="16" customHeight="1" spans="1:62">
      <c r="A16" s="35">
        <v>114</v>
      </c>
      <c r="B16" s="40" t="s">
        <v>17</v>
      </c>
      <c r="C16" s="40"/>
      <c r="D16" s="44" t="s">
        <v>365</v>
      </c>
      <c r="E16" s="45">
        <v>2</v>
      </c>
      <c r="F16" s="35">
        <v>1</v>
      </c>
      <c r="G16" s="35">
        <f t="shared" si="17"/>
        <v>1</v>
      </c>
      <c r="H16" s="35">
        <v>1</v>
      </c>
      <c r="I16" s="35">
        <v>1</v>
      </c>
      <c r="J16" s="35">
        <v>1</v>
      </c>
      <c r="K16" s="35">
        <v>1</v>
      </c>
      <c r="L16" s="35">
        <v>1</v>
      </c>
      <c r="M16" s="35" t="s">
        <v>136</v>
      </c>
      <c r="N16">
        <f t="shared" si="18"/>
        <v>4500</v>
      </c>
      <c r="O16" s="35">
        <v>1</v>
      </c>
      <c r="P16" s="24">
        <f t="shared" si="19"/>
        <v>473</v>
      </c>
      <c r="Q16" s="24">
        <f t="shared" ref="Q16:U16" si="52">IF($L16&lt;=Q$8,1,0)</f>
        <v>1</v>
      </c>
      <c r="R16" s="24">
        <f t="shared" si="21"/>
        <v>567</v>
      </c>
      <c r="S16" s="24">
        <f t="shared" si="52"/>
        <v>1</v>
      </c>
      <c r="T16" s="24">
        <f t="shared" si="22"/>
        <v>567</v>
      </c>
      <c r="U16" s="24">
        <f t="shared" si="52"/>
        <v>1</v>
      </c>
      <c r="V16" s="24">
        <f t="shared" si="23"/>
        <v>567</v>
      </c>
      <c r="W16" s="24">
        <f t="shared" ref="W16:AA16" si="53">IF($L16&lt;=W$8,1,0)</f>
        <v>1</v>
      </c>
      <c r="X16" s="24">
        <f t="shared" si="25"/>
        <v>473</v>
      </c>
      <c r="Y16" s="24">
        <f t="shared" si="53"/>
        <v>1</v>
      </c>
      <c r="Z16" s="24">
        <f t="shared" si="26"/>
        <v>473</v>
      </c>
      <c r="AA16" s="24">
        <f t="shared" si="53"/>
        <v>1</v>
      </c>
      <c r="AB16" s="24">
        <f t="shared" si="27"/>
        <v>473</v>
      </c>
      <c r="AC16" s="24">
        <f t="shared" ref="AC16:AG16" si="54">IF($L16&lt;=AC$8,1,0)</f>
        <v>1</v>
      </c>
      <c r="AD16" s="24">
        <f t="shared" si="29"/>
        <v>473</v>
      </c>
      <c r="AE16" s="24">
        <f t="shared" si="54"/>
        <v>1</v>
      </c>
      <c r="AF16" s="24">
        <f t="shared" si="30"/>
        <v>473</v>
      </c>
      <c r="AG16" s="24">
        <f t="shared" si="54"/>
        <v>1</v>
      </c>
      <c r="AH16" s="24">
        <f t="shared" si="31"/>
        <v>473</v>
      </c>
      <c r="AI16" s="24">
        <f t="shared" ref="AI16:AM16" si="55">IF($L16&lt;=AI$8,1,0)</f>
        <v>1</v>
      </c>
      <c r="AJ16" s="24">
        <f t="shared" si="33"/>
        <v>473</v>
      </c>
      <c r="AK16" s="24">
        <f t="shared" si="55"/>
        <v>1</v>
      </c>
      <c r="AL16" s="24">
        <f t="shared" si="34"/>
        <v>473</v>
      </c>
      <c r="AM16" s="24">
        <f t="shared" si="55"/>
        <v>1</v>
      </c>
      <c r="AN16" s="24">
        <f t="shared" si="35"/>
        <v>473</v>
      </c>
      <c r="AQ16" s="54" t="s">
        <v>109</v>
      </c>
      <c r="AR16" s="35">
        <f>COUNTIFS($L:$L,AR$2,$B:$B,$AQ16)</f>
        <v>14</v>
      </c>
      <c r="AS16" s="35">
        <f>COUNTIFS($L:$L,AS$2,$B:$B,$AQ16)</f>
        <v>2</v>
      </c>
      <c r="AT16" s="35">
        <f>COUNTIFS($L:$L,AT$2,$B:$B,$AQ16)</f>
        <v>1</v>
      </c>
      <c r="AU16" s="35">
        <f>COUNTIFS($L:$L,AU$2,$B:$B,$AQ16)</f>
        <v>0</v>
      </c>
      <c r="AX16" s="4" t="str">
        <f t="shared" si="4"/>
        <v>1,473</v>
      </c>
      <c r="AY16" s="4" t="str">
        <f t="shared" si="5"/>
        <v>1,567</v>
      </c>
      <c r="AZ16" s="4" t="str">
        <f t="shared" si="6"/>
        <v>1,567</v>
      </c>
      <c r="BA16" s="4" t="str">
        <f t="shared" si="7"/>
        <v>1,567</v>
      </c>
      <c r="BB16" s="4" t="str">
        <f t="shared" si="8"/>
        <v>1,473</v>
      </c>
      <c r="BC16" s="4" t="str">
        <f t="shared" si="9"/>
        <v>1,473</v>
      </c>
      <c r="BD16" s="4" t="str">
        <f t="shared" si="10"/>
        <v>1,473</v>
      </c>
      <c r="BE16" s="4" t="str">
        <f t="shared" si="11"/>
        <v>1,473</v>
      </c>
      <c r="BF16" s="4" t="str">
        <f t="shared" si="12"/>
        <v>1,473</v>
      </c>
      <c r="BG16" s="4" t="str">
        <f t="shared" si="13"/>
        <v>1,473</v>
      </c>
      <c r="BH16" s="4" t="str">
        <f t="shared" si="14"/>
        <v>1,473</v>
      </c>
      <c r="BI16" s="4" t="str">
        <f t="shared" si="15"/>
        <v>1,473</v>
      </c>
      <c r="BJ16" s="4" t="str">
        <f t="shared" si="16"/>
        <v>1,473</v>
      </c>
    </row>
    <row r="17" customHeight="1" spans="1:62">
      <c r="A17" s="35">
        <v>121</v>
      </c>
      <c r="B17" s="40" t="s">
        <v>17</v>
      </c>
      <c r="C17" s="40"/>
      <c r="D17" s="46" t="s">
        <v>366</v>
      </c>
      <c r="E17" s="45">
        <v>3</v>
      </c>
      <c r="F17" s="35">
        <v>1</v>
      </c>
      <c r="G17" s="35">
        <f t="shared" si="17"/>
        <v>1</v>
      </c>
      <c r="H17" s="35">
        <v>1</v>
      </c>
      <c r="I17" s="35">
        <v>1</v>
      </c>
      <c r="J17" s="35">
        <v>1</v>
      </c>
      <c r="K17" s="35">
        <v>1</v>
      </c>
      <c r="L17" s="35">
        <v>1</v>
      </c>
      <c r="M17" s="35" t="s">
        <v>136</v>
      </c>
      <c r="N17">
        <f t="shared" si="18"/>
        <v>1500</v>
      </c>
      <c r="O17" s="35">
        <v>1</v>
      </c>
      <c r="P17" s="24">
        <f t="shared" si="19"/>
        <v>158</v>
      </c>
      <c r="Q17" s="24">
        <f t="shared" ref="Q17:U17" si="56">IF($L17&lt;=Q$8,1,0)</f>
        <v>1</v>
      </c>
      <c r="R17" s="24">
        <f t="shared" si="21"/>
        <v>189</v>
      </c>
      <c r="S17" s="24">
        <f t="shared" si="56"/>
        <v>1</v>
      </c>
      <c r="T17" s="24">
        <f t="shared" si="22"/>
        <v>189</v>
      </c>
      <c r="U17" s="24">
        <f t="shared" si="56"/>
        <v>1</v>
      </c>
      <c r="V17" s="24">
        <f t="shared" si="23"/>
        <v>189</v>
      </c>
      <c r="W17" s="24">
        <f t="shared" ref="W17:AA17" si="57">IF($L17&lt;=W$8,1,0)</f>
        <v>1</v>
      </c>
      <c r="X17" s="24">
        <f t="shared" si="25"/>
        <v>158</v>
      </c>
      <c r="Y17" s="24">
        <f t="shared" si="57"/>
        <v>1</v>
      </c>
      <c r="Z17" s="24">
        <f t="shared" si="26"/>
        <v>158</v>
      </c>
      <c r="AA17" s="24">
        <f t="shared" si="57"/>
        <v>1</v>
      </c>
      <c r="AB17" s="24">
        <f t="shared" si="27"/>
        <v>158</v>
      </c>
      <c r="AC17" s="24">
        <f t="shared" ref="AC17:AG17" si="58">IF($L17&lt;=AC$8,1,0)</f>
        <v>1</v>
      </c>
      <c r="AD17" s="24">
        <f t="shared" si="29"/>
        <v>158</v>
      </c>
      <c r="AE17" s="24">
        <f t="shared" si="58"/>
        <v>1</v>
      </c>
      <c r="AF17" s="24">
        <f t="shared" si="30"/>
        <v>158</v>
      </c>
      <c r="AG17" s="24">
        <f t="shared" si="58"/>
        <v>1</v>
      </c>
      <c r="AH17" s="24">
        <f t="shared" si="31"/>
        <v>158</v>
      </c>
      <c r="AI17" s="24">
        <f t="shared" ref="AI17:AM17" si="59">IF($L17&lt;=AI$8,1,0)</f>
        <v>1</v>
      </c>
      <c r="AJ17" s="24">
        <f t="shared" si="33"/>
        <v>158</v>
      </c>
      <c r="AK17" s="24">
        <f t="shared" si="59"/>
        <v>1</v>
      </c>
      <c r="AL17" s="24">
        <f t="shared" si="34"/>
        <v>158</v>
      </c>
      <c r="AM17" s="24">
        <f t="shared" si="59"/>
        <v>1</v>
      </c>
      <c r="AN17" s="24">
        <f t="shared" si="35"/>
        <v>158</v>
      </c>
      <c r="AQ17" s="54" t="s">
        <v>114</v>
      </c>
      <c r="AR17" s="35">
        <f>COUNTIFS($L:$L,AR$2,$B:$B,$AQ17)</f>
        <v>14</v>
      </c>
      <c r="AS17" s="35">
        <f>COUNTIFS($L:$L,AS$2,$B:$B,$AQ17)</f>
        <v>2</v>
      </c>
      <c r="AT17" s="35">
        <f>COUNTIFS($L:$L,AT$2,$B:$B,$AQ17)</f>
        <v>1</v>
      </c>
      <c r="AU17" s="35">
        <f>COUNTIFS($L:$L,AU$2,$B:$B,$AQ17)</f>
        <v>0</v>
      </c>
      <c r="AX17" s="4" t="str">
        <f t="shared" si="4"/>
        <v>1,158</v>
      </c>
      <c r="AY17" s="4" t="str">
        <f t="shared" si="5"/>
        <v>1,189</v>
      </c>
      <c r="AZ17" s="4" t="str">
        <f t="shared" si="6"/>
        <v>1,189</v>
      </c>
      <c r="BA17" s="4" t="str">
        <f t="shared" si="7"/>
        <v>1,189</v>
      </c>
      <c r="BB17" s="4" t="str">
        <f t="shared" si="8"/>
        <v>1,158</v>
      </c>
      <c r="BC17" s="4" t="str">
        <f t="shared" si="9"/>
        <v>1,158</v>
      </c>
      <c r="BD17" s="4" t="str">
        <f t="shared" si="10"/>
        <v>1,158</v>
      </c>
      <c r="BE17" s="4" t="str">
        <f t="shared" si="11"/>
        <v>1,158</v>
      </c>
      <c r="BF17" s="4" t="str">
        <f t="shared" si="12"/>
        <v>1,158</v>
      </c>
      <c r="BG17" s="4" t="str">
        <f t="shared" si="13"/>
        <v>1,158</v>
      </c>
      <c r="BH17" s="4" t="str">
        <f t="shared" si="14"/>
        <v>1,158</v>
      </c>
      <c r="BI17" s="4" t="str">
        <f t="shared" si="15"/>
        <v>1,158</v>
      </c>
      <c r="BJ17" s="4" t="str">
        <f t="shared" si="16"/>
        <v>1,158</v>
      </c>
    </row>
    <row r="18" customHeight="1" spans="1:62">
      <c r="A18" s="35">
        <v>122</v>
      </c>
      <c r="B18" s="40" t="s">
        <v>17</v>
      </c>
      <c r="C18" s="40"/>
      <c r="D18" s="46" t="s">
        <v>367</v>
      </c>
      <c r="E18" s="45">
        <v>3</v>
      </c>
      <c r="F18" s="35">
        <v>1</v>
      </c>
      <c r="G18" s="35">
        <f t="shared" si="17"/>
        <v>1</v>
      </c>
      <c r="H18" s="35">
        <v>1</v>
      </c>
      <c r="I18" s="35">
        <v>1</v>
      </c>
      <c r="J18" s="35">
        <v>1</v>
      </c>
      <c r="K18" s="35">
        <v>1</v>
      </c>
      <c r="L18" s="35">
        <v>1</v>
      </c>
      <c r="M18" s="35"/>
      <c r="N18">
        <f t="shared" si="18"/>
        <v>1500</v>
      </c>
      <c r="O18" s="35">
        <v>1</v>
      </c>
      <c r="P18" s="24">
        <f t="shared" si="19"/>
        <v>158</v>
      </c>
      <c r="Q18" s="24">
        <f t="shared" ref="Q18:U18" si="60">IF($L18&lt;=Q$8,1,0)</f>
        <v>1</v>
      </c>
      <c r="R18" s="24">
        <f t="shared" si="21"/>
        <v>189</v>
      </c>
      <c r="S18" s="24">
        <f t="shared" si="60"/>
        <v>1</v>
      </c>
      <c r="T18" s="24">
        <f t="shared" si="22"/>
        <v>189</v>
      </c>
      <c r="U18" s="24">
        <f t="shared" si="60"/>
        <v>1</v>
      </c>
      <c r="V18" s="24">
        <f t="shared" si="23"/>
        <v>189</v>
      </c>
      <c r="W18" s="24">
        <f t="shared" ref="W18:AA18" si="61">IF($L18&lt;=W$8,1,0)</f>
        <v>1</v>
      </c>
      <c r="X18" s="24">
        <f t="shared" si="25"/>
        <v>158</v>
      </c>
      <c r="Y18" s="24">
        <f t="shared" si="61"/>
        <v>1</v>
      </c>
      <c r="Z18" s="24">
        <f t="shared" si="26"/>
        <v>158</v>
      </c>
      <c r="AA18" s="24">
        <f t="shared" si="61"/>
        <v>1</v>
      </c>
      <c r="AB18" s="24">
        <f t="shared" si="27"/>
        <v>158</v>
      </c>
      <c r="AC18" s="24">
        <f t="shared" ref="AC18:AG18" si="62">IF($L18&lt;=AC$8,1,0)</f>
        <v>1</v>
      </c>
      <c r="AD18" s="24">
        <f t="shared" si="29"/>
        <v>158</v>
      </c>
      <c r="AE18" s="24">
        <f t="shared" si="62"/>
        <v>1</v>
      </c>
      <c r="AF18" s="24">
        <f t="shared" si="30"/>
        <v>158</v>
      </c>
      <c r="AG18" s="24">
        <f t="shared" si="62"/>
        <v>1</v>
      </c>
      <c r="AH18" s="24">
        <f t="shared" si="31"/>
        <v>158</v>
      </c>
      <c r="AI18" s="24">
        <f t="shared" ref="AI18:AM18" si="63">IF($L18&lt;=AI$8,1,0)</f>
        <v>1</v>
      </c>
      <c r="AJ18" s="24">
        <f t="shared" si="33"/>
        <v>158</v>
      </c>
      <c r="AK18" s="24">
        <f t="shared" si="63"/>
        <v>1</v>
      </c>
      <c r="AL18" s="24">
        <f t="shared" si="34"/>
        <v>158</v>
      </c>
      <c r="AM18" s="24">
        <f t="shared" si="63"/>
        <v>1</v>
      </c>
      <c r="AN18" s="24">
        <f t="shared" si="35"/>
        <v>158</v>
      </c>
      <c r="AQ18" s="54" t="s">
        <v>120</v>
      </c>
      <c r="AR18" s="35">
        <f>COUNTIFS($L:$L,AR$2,$B:$B,$AQ18)</f>
        <v>14</v>
      </c>
      <c r="AS18" s="35">
        <f>COUNTIFS($L:$L,AS$2,$B:$B,$AQ18)</f>
        <v>2</v>
      </c>
      <c r="AT18" s="35">
        <f>COUNTIFS($L:$L,AT$2,$B:$B,$AQ18)</f>
        <v>1</v>
      </c>
      <c r="AU18" s="35">
        <f>COUNTIFS($L:$L,AU$2,$B:$B,$AQ18)</f>
        <v>0</v>
      </c>
      <c r="AX18" s="4" t="str">
        <f t="shared" si="4"/>
        <v>1,158</v>
      </c>
      <c r="AY18" s="4" t="str">
        <f t="shared" si="5"/>
        <v>1,189</v>
      </c>
      <c r="AZ18" s="4" t="str">
        <f t="shared" si="6"/>
        <v>1,189</v>
      </c>
      <c r="BA18" s="4" t="str">
        <f t="shared" si="7"/>
        <v>1,189</v>
      </c>
      <c r="BB18" s="4" t="str">
        <f t="shared" si="8"/>
        <v>1,158</v>
      </c>
      <c r="BC18" s="4" t="str">
        <f t="shared" si="9"/>
        <v>1,158</v>
      </c>
      <c r="BD18" s="4" t="str">
        <f t="shared" si="10"/>
        <v>1,158</v>
      </c>
      <c r="BE18" s="4" t="str">
        <f t="shared" si="11"/>
        <v>1,158</v>
      </c>
      <c r="BF18" s="4" t="str">
        <f t="shared" si="12"/>
        <v>1,158</v>
      </c>
      <c r="BG18" s="4" t="str">
        <f t="shared" si="13"/>
        <v>1,158</v>
      </c>
      <c r="BH18" s="4" t="str">
        <f t="shared" si="14"/>
        <v>1,158</v>
      </c>
      <c r="BI18" s="4" t="str">
        <f t="shared" si="15"/>
        <v>1,158</v>
      </c>
      <c r="BJ18" s="4" t="str">
        <f t="shared" si="16"/>
        <v>1,158</v>
      </c>
    </row>
    <row r="19" customHeight="1" spans="1:62">
      <c r="A19" s="35">
        <v>123</v>
      </c>
      <c r="B19" s="40" t="s">
        <v>17</v>
      </c>
      <c r="C19" s="40"/>
      <c r="D19" s="46" t="s">
        <v>368</v>
      </c>
      <c r="E19" s="45">
        <v>3</v>
      </c>
      <c r="F19" s="35">
        <v>1</v>
      </c>
      <c r="G19" s="35">
        <f t="shared" si="17"/>
        <v>1</v>
      </c>
      <c r="H19" s="35">
        <v>1</v>
      </c>
      <c r="I19" s="35">
        <v>1</v>
      </c>
      <c r="J19" s="35">
        <v>1</v>
      </c>
      <c r="K19" s="35">
        <v>1</v>
      </c>
      <c r="L19" s="35">
        <v>1</v>
      </c>
      <c r="M19" s="35"/>
      <c r="N19">
        <f t="shared" si="18"/>
        <v>1500</v>
      </c>
      <c r="O19" s="35">
        <v>1</v>
      </c>
      <c r="P19" s="24">
        <f t="shared" si="19"/>
        <v>158</v>
      </c>
      <c r="Q19" s="24">
        <f t="shared" ref="Q19:U19" si="64">IF($L19&lt;=Q$8,1,0)</f>
        <v>1</v>
      </c>
      <c r="R19" s="24">
        <f t="shared" si="21"/>
        <v>189</v>
      </c>
      <c r="S19" s="24">
        <f t="shared" si="64"/>
        <v>1</v>
      </c>
      <c r="T19" s="24">
        <f t="shared" si="22"/>
        <v>189</v>
      </c>
      <c r="U19" s="24">
        <f t="shared" si="64"/>
        <v>1</v>
      </c>
      <c r="V19" s="24">
        <f t="shared" si="23"/>
        <v>189</v>
      </c>
      <c r="W19" s="24">
        <f t="shared" ref="W19:AA19" si="65">IF($L19&lt;=W$8,1,0)</f>
        <v>1</v>
      </c>
      <c r="X19" s="24">
        <f t="shared" si="25"/>
        <v>158</v>
      </c>
      <c r="Y19" s="24">
        <f t="shared" si="65"/>
        <v>1</v>
      </c>
      <c r="Z19" s="24">
        <f t="shared" si="26"/>
        <v>158</v>
      </c>
      <c r="AA19" s="24">
        <f t="shared" si="65"/>
        <v>1</v>
      </c>
      <c r="AB19" s="24">
        <f t="shared" si="27"/>
        <v>158</v>
      </c>
      <c r="AC19" s="24">
        <f t="shared" ref="AC19:AG19" si="66">IF($L19&lt;=AC$8,1,0)</f>
        <v>1</v>
      </c>
      <c r="AD19" s="24">
        <f t="shared" si="29"/>
        <v>158</v>
      </c>
      <c r="AE19" s="24">
        <f t="shared" si="66"/>
        <v>1</v>
      </c>
      <c r="AF19" s="24">
        <f t="shared" si="30"/>
        <v>158</v>
      </c>
      <c r="AG19" s="24">
        <f t="shared" si="66"/>
        <v>1</v>
      </c>
      <c r="AH19" s="24">
        <f t="shared" si="31"/>
        <v>158</v>
      </c>
      <c r="AI19" s="24">
        <f t="shared" ref="AI19:AM19" si="67">IF($L19&lt;=AI$8,1,0)</f>
        <v>1</v>
      </c>
      <c r="AJ19" s="24">
        <f t="shared" si="33"/>
        <v>158</v>
      </c>
      <c r="AK19" s="24">
        <f t="shared" si="67"/>
        <v>1</v>
      </c>
      <c r="AL19" s="24">
        <f t="shared" si="34"/>
        <v>158</v>
      </c>
      <c r="AM19" s="24">
        <f t="shared" si="67"/>
        <v>1</v>
      </c>
      <c r="AN19" s="24">
        <f t="shared" si="35"/>
        <v>158</v>
      </c>
      <c r="AQ19" s="56"/>
      <c r="AR19" s="57"/>
      <c r="AS19" s="57"/>
      <c r="AT19" s="57"/>
      <c r="AU19" s="57"/>
      <c r="AX19" s="4" t="str">
        <f t="shared" si="4"/>
        <v>1,158</v>
      </c>
      <c r="AY19" s="4" t="str">
        <f t="shared" si="5"/>
        <v>1,189</v>
      </c>
      <c r="AZ19" s="4" t="str">
        <f t="shared" si="6"/>
        <v>1,189</v>
      </c>
      <c r="BA19" s="4" t="str">
        <f t="shared" si="7"/>
        <v>1,189</v>
      </c>
      <c r="BB19" s="4" t="str">
        <f t="shared" si="8"/>
        <v>1,158</v>
      </c>
      <c r="BC19" s="4" t="str">
        <f t="shared" si="9"/>
        <v>1,158</v>
      </c>
      <c r="BD19" s="4" t="str">
        <f t="shared" si="10"/>
        <v>1,158</v>
      </c>
      <c r="BE19" s="4" t="str">
        <f t="shared" si="11"/>
        <v>1,158</v>
      </c>
      <c r="BF19" s="4" t="str">
        <f t="shared" si="12"/>
        <v>1,158</v>
      </c>
      <c r="BG19" s="4" t="str">
        <f t="shared" si="13"/>
        <v>1,158</v>
      </c>
      <c r="BH19" s="4" t="str">
        <f t="shared" si="14"/>
        <v>1,158</v>
      </c>
      <c r="BI19" s="4" t="str">
        <f t="shared" si="15"/>
        <v>1,158</v>
      </c>
      <c r="BJ19" s="4" t="str">
        <f t="shared" si="16"/>
        <v>1,158</v>
      </c>
    </row>
    <row r="20" customHeight="1" spans="1:62">
      <c r="A20" s="35">
        <v>124</v>
      </c>
      <c r="B20" s="40" t="s">
        <v>17</v>
      </c>
      <c r="C20" s="40"/>
      <c r="D20" s="46" t="s">
        <v>369</v>
      </c>
      <c r="E20" s="45">
        <v>3</v>
      </c>
      <c r="F20" s="35">
        <v>1</v>
      </c>
      <c r="G20" s="35">
        <f t="shared" si="17"/>
        <v>1</v>
      </c>
      <c r="H20" s="35">
        <v>1</v>
      </c>
      <c r="I20" s="35">
        <v>1</v>
      </c>
      <c r="J20" s="35">
        <v>1</v>
      </c>
      <c r="K20" s="35">
        <v>1</v>
      </c>
      <c r="L20" s="35">
        <v>1</v>
      </c>
      <c r="M20" s="35" t="s">
        <v>136</v>
      </c>
      <c r="N20">
        <f t="shared" si="18"/>
        <v>1500</v>
      </c>
      <c r="O20" s="35">
        <v>1</v>
      </c>
      <c r="P20" s="24">
        <f t="shared" si="19"/>
        <v>158</v>
      </c>
      <c r="Q20" s="24">
        <f t="shared" ref="Q20:U20" si="68">IF($L20&lt;=Q$8,1,0)</f>
        <v>1</v>
      </c>
      <c r="R20" s="24">
        <f t="shared" si="21"/>
        <v>189</v>
      </c>
      <c r="S20" s="24">
        <f t="shared" si="68"/>
        <v>1</v>
      </c>
      <c r="T20" s="24">
        <f t="shared" si="22"/>
        <v>189</v>
      </c>
      <c r="U20" s="24">
        <f t="shared" si="68"/>
        <v>1</v>
      </c>
      <c r="V20" s="24">
        <f t="shared" si="23"/>
        <v>189</v>
      </c>
      <c r="W20" s="24">
        <f t="shared" ref="W20:AA20" si="69">IF($L20&lt;=W$8,1,0)</f>
        <v>1</v>
      </c>
      <c r="X20" s="24">
        <f t="shared" si="25"/>
        <v>158</v>
      </c>
      <c r="Y20" s="24">
        <f t="shared" si="69"/>
        <v>1</v>
      </c>
      <c r="Z20" s="24">
        <f t="shared" si="26"/>
        <v>158</v>
      </c>
      <c r="AA20" s="24">
        <f t="shared" si="69"/>
        <v>1</v>
      </c>
      <c r="AB20" s="24">
        <f t="shared" si="27"/>
        <v>158</v>
      </c>
      <c r="AC20" s="24">
        <f t="shared" ref="AC20:AG20" si="70">IF($L20&lt;=AC$8,1,0)</f>
        <v>1</v>
      </c>
      <c r="AD20" s="24">
        <f t="shared" si="29"/>
        <v>158</v>
      </c>
      <c r="AE20" s="24">
        <f t="shared" si="70"/>
        <v>1</v>
      </c>
      <c r="AF20" s="24">
        <f t="shared" si="30"/>
        <v>158</v>
      </c>
      <c r="AG20" s="24">
        <f t="shared" si="70"/>
        <v>1</v>
      </c>
      <c r="AH20" s="24">
        <f t="shared" si="31"/>
        <v>158</v>
      </c>
      <c r="AI20" s="24">
        <f t="shared" ref="AI20:AM20" si="71">IF($L20&lt;=AI$8,1,0)</f>
        <v>1</v>
      </c>
      <c r="AJ20" s="24">
        <f t="shared" si="33"/>
        <v>158</v>
      </c>
      <c r="AK20" s="24">
        <f t="shared" si="71"/>
        <v>1</v>
      </c>
      <c r="AL20" s="24">
        <f t="shared" si="34"/>
        <v>158</v>
      </c>
      <c r="AM20" s="24">
        <f t="shared" si="71"/>
        <v>1</v>
      </c>
      <c r="AN20" s="24">
        <f t="shared" si="35"/>
        <v>158</v>
      </c>
      <c r="AQ20" s="56"/>
      <c r="AR20" s="57"/>
      <c r="AS20" s="57"/>
      <c r="AT20" s="57"/>
      <c r="AU20" s="57"/>
      <c r="AX20" s="4" t="str">
        <f t="shared" si="4"/>
        <v>1,158</v>
      </c>
      <c r="AY20" s="4" t="str">
        <f t="shared" si="5"/>
        <v>1,189</v>
      </c>
      <c r="AZ20" s="4" t="str">
        <f t="shared" si="6"/>
        <v>1,189</v>
      </c>
      <c r="BA20" s="4" t="str">
        <f t="shared" si="7"/>
        <v>1,189</v>
      </c>
      <c r="BB20" s="4" t="str">
        <f t="shared" si="8"/>
        <v>1,158</v>
      </c>
      <c r="BC20" s="4" t="str">
        <f t="shared" si="9"/>
        <v>1,158</v>
      </c>
      <c r="BD20" s="4" t="str">
        <f t="shared" si="10"/>
        <v>1,158</v>
      </c>
      <c r="BE20" s="4" t="str">
        <f t="shared" si="11"/>
        <v>1,158</v>
      </c>
      <c r="BF20" s="4" t="str">
        <f t="shared" si="12"/>
        <v>1,158</v>
      </c>
      <c r="BG20" s="4" t="str">
        <f t="shared" si="13"/>
        <v>1,158</v>
      </c>
      <c r="BH20" s="4" t="str">
        <f t="shared" si="14"/>
        <v>1,158</v>
      </c>
      <c r="BI20" s="4" t="str">
        <f t="shared" si="15"/>
        <v>1,158</v>
      </c>
      <c r="BJ20" s="4" t="str">
        <f t="shared" si="16"/>
        <v>1,158</v>
      </c>
    </row>
    <row r="21" customHeight="1" spans="1:62">
      <c r="A21" s="35">
        <v>131</v>
      </c>
      <c r="B21" s="40" t="s">
        <v>17</v>
      </c>
      <c r="C21" s="40"/>
      <c r="D21" s="44" t="s">
        <v>24</v>
      </c>
      <c r="E21" s="45">
        <v>2</v>
      </c>
      <c r="F21" s="35">
        <v>1</v>
      </c>
      <c r="G21" s="35">
        <f t="shared" si="17"/>
        <v>1</v>
      </c>
      <c r="H21" s="35">
        <v>1</v>
      </c>
      <c r="I21" s="35">
        <v>1</v>
      </c>
      <c r="J21" s="35">
        <v>1</v>
      </c>
      <c r="K21" s="35">
        <v>1</v>
      </c>
      <c r="L21" s="35">
        <v>2</v>
      </c>
      <c r="M21" s="35"/>
      <c r="N21">
        <f t="shared" si="18"/>
        <v>4500</v>
      </c>
      <c r="O21" s="35">
        <v>1</v>
      </c>
      <c r="P21" s="24">
        <f t="shared" si="19"/>
        <v>473</v>
      </c>
      <c r="Q21" s="24">
        <f t="shared" ref="Q21:U21" si="72">IF($L21&lt;=Q$8,1,0)</f>
        <v>0</v>
      </c>
      <c r="R21" s="24">
        <f t="shared" si="21"/>
        <v>567</v>
      </c>
      <c r="S21" s="24">
        <f t="shared" si="72"/>
        <v>0</v>
      </c>
      <c r="T21" s="24">
        <f t="shared" si="22"/>
        <v>567</v>
      </c>
      <c r="U21" s="24">
        <f t="shared" si="72"/>
        <v>0</v>
      </c>
      <c r="V21" s="24">
        <f t="shared" si="23"/>
        <v>567</v>
      </c>
      <c r="W21" s="24">
        <f t="shared" ref="W21:AA21" si="73">IF($L21&lt;=W$8,1,0)</f>
        <v>1</v>
      </c>
      <c r="X21" s="24">
        <f t="shared" si="25"/>
        <v>473</v>
      </c>
      <c r="Y21" s="24">
        <f t="shared" si="73"/>
        <v>1</v>
      </c>
      <c r="Z21" s="24">
        <f t="shared" si="26"/>
        <v>473</v>
      </c>
      <c r="AA21" s="24">
        <f t="shared" si="73"/>
        <v>1</v>
      </c>
      <c r="AB21" s="24">
        <f t="shared" si="27"/>
        <v>473</v>
      </c>
      <c r="AC21" s="24">
        <f t="shared" ref="AC21:AG21" si="74">IF($L21&lt;=AC$8,1,0)</f>
        <v>1</v>
      </c>
      <c r="AD21" s="24">
        <f t="shared" si="29"/>
        <v>473</v>
      </c>
      <c r="AE21" s="24">
        <f t="shared" si="74"/>
        <v>1</v>
      </c>
      <c r="AF21" s="24">
        <f t="shared" si="30"/>
        <v>473</v>
      </c>
      <c r="AG21" s="24">
        <f t="shared" si="74"/>
        <v>1</v>
      </c>
      <c r="AH21" s="24">
        <f t="shared" si="31"/>
        <v>473</v>
      </c>
      <c r="AI21" s="24">
        <f t="shared" ref="AI21:AM21" si="75">IF($L21&lt;=AI$8,1,0)</f>
        <v>1</v>
      </c>
      <c r="AJ21" s="24">
        <f t="shared" si="33"/>
        <v>473</v>
      </c>
      <c r="AK21" s="24">
        <f t="shared" si="75"/>
        <v>1</v>
      </c>
      <c r="AL21" s="24">
        <f t="shared" si="34"/>
        <v>473</v>
      </c>
      <c r="AM21" s="24">
        <f t="shared" si="75"/>
        <v>1</v>
      </c>
      <c r="AN21" s="24">
        <f>ROUND(INDEX($C$2:$C$5,MATCH($E21,$B$2:$B$5,0))*$H21/SUMIFS($H:$H,$E:$E,$E21,$B:$B,$B21,AM:AM,1)*IF(B21=$B$10,0.9,1),0)</f>
        <v>675</v>
      </c>
      <c r="AQ21" s="56"/>
      <c r="AR21" s="57"/>
      <c r="AS21" s="57"/>
      <c r="AT21" s="57"/>
      <c r="AU21" s="57"/>
      <c r="AX21" s="4" t="str">
        <f t="shared" si="4"/>
        <v>1,473</v>
      </c>
      <c r="AY21" s="4" t="str">
        <f t="shared" si="5"/>
        <v>0,567</v>
      </c>
      <c r="AZ21" s="4" t="str">
        <f t="shared" si="6"/>
        <v>0,567</v>
      </c>
      <c r="BA21" s="4" t="str">
        <f t="shared" si="7"/>
        <v>0,567</v>
      </c>
      <c r="BB21" s="4" t="str">
        <f t="shared" si="8"/>
        <v>1,473</v>
      </c>
      <c r="BC21" s="4" t="str">
        <f t="shared" si="9"/>
        <v>1,473</v>
      </c>
      <c r="BD21" s="4" t="str">
        <f t="shared" si="10"/>
        <v>1,473</v>
      </c>
      <c r="BE21" s="4" t="str">
        <f t="shared" si="11"/>
        <v>1,473</v>
      </c>
      <c r="BF21" s="4" t="str">
        <f t="shared" si="12"/>
        <v>1,473</v>
      </c>
      <c r="BG21" s="4" t="str">
        <f t="shared" si="13"/>
        <v>1,473</v>
      </c>
      <c r="BH21" s="4" t="str">
        <f t="shared" si="14"/>
        <v>1,473</v>
      </c>
      <c r="BI21" s="4" t="str">
        <f t="shared" si="15"/>
        <v>1,473</v>
      </c>
      <c r="BJ21" s="4" t="str">
        <f t="shared" si="16"/>
        <v>1,675</v>
      </c>
    </row>
    <row r="22" customHeight="1" spans="1:62">
      <c r="A22" s="35">
        <v>132</v>
      </c>
      <c r="B22" s="40" t="s">
        <v>17</v>
      </c>
      <c r="C22" s="40"/>
      <c r="D22" s="44" t="s">
        <v>370</v>
      </c>
      <c r="E22" s="43">
        <v>2</v>
      </c>
      <c r="F22" s="35">
        <v>1</v>
      </c>
      <c r="G22" s="35">
        <f t="shared" si="17"/>
        <v>1</v>
      </c>
      <c r="H22" s="35">
        <v>1</v>
      </c>
      <c r="I22" s="35">
        <v>1</v>
      </c>
      <c r="J22" s="35">
        <v>1</v>
      </c>
      <c r="K22" s="35">
        <v>1</v>
      </c>
      <c r="L22" s="35">
        <v>1</v>
      </c>
      <c r="M22" s="35"/>
      <c r="N22">
        <f t="shared" si="18"/>
        <v>4500</v>
      </c>
      <c r="O22" s="35">
        <v>1</v>
      </c>
      <c r="P22" s="24">
        <f t="shared" si="19"/>
        <v>473</v>
      </c>
      <c r="Q22" s="24">
        <f t="shared" ref="Q22:U22" si="76">IF($L22&lt;=Q$8,1,0)</f>
        <v>1</v>
      </c>
      <c r="R22" s="24">
        <f t="shared" si="21"/>
        <v>567</v>
      </c>
      <c r="S22" s="24">
        <f t="shared" si="76"/>
        <v>1</v>
      </c>
      <c r="T22" s="24">
        <f t="shared" si="22"/>
        <v>567</v>
      </c>
      <c r="U22" s="24">
        <f t="shared" si="76"/>
        <v>1</v>
      </c>
      <c r="V22" s="24">
        <f t="shared" si="23"/>
        <v>567</v>
      </c>
      <c r="W22" s="24">
        <f t="shared" ref="W22:AA22" si="77">IF($L22&lt;=W$8,1,0)</f>
        <v>1</v>
      </c>
      <c r="X22" s="24">
        <f t="shared" si="25"/>
        <v>473</v>
      </c>
      <c r="Y22" s="24">
        <f t="shared" si="77"/>
        <v>1</v>
      </c>
      <c r="Z22" s="24">
        <f t="shared" si="26"/>
        <v>473</v>
      </c>
      <c r="AA22" s="24">
        <f t="shared" si="77"/>
        <v>1</v>
      </c>
      <c r="AB22" s="24">
        <f t="shared" si="27"/>
        <v>473</v>
      </c>
      <c r="AC22" s="24">
        <f t="shared" ref="AC22:AG22" si="78">IF($L22&lt;=AC$8,1,0)</f>
        <v>1</v>
      </c>
      <c r="AD22" s="24">
        <f t="shared" si="29"/>
        <v>473</v>
      </c>
      <c r="AE22" s="24">
        <f t="shared" si="78"/>
        <v>1</v>
      </c>
      <c r="AF22" s="24">
        <f t="shared" si="30"/>
        <v>473</v>
      </c>
      <c r="AG22" s="24">
        <f t="shared" si="78"/>
        <v>1</v>
      </c>
      <c r="AH22" s="24">
        <f t="shared" si="31"/>
        <v>473</v>
      </c>
      <c r="AI22" s="24">
        <f t="shared" ref="AI22:AM22" si="79">IF($L22&lt;=AI$8,1,0)</f>
        <v>1</v>
      </c>
      <c r="AJ22" s="24">
        <f t="shared" si="33"/>
        <v>473</v>
      </c>
      <c r="AK22" s="24">
        <f t="shared" si="79"/>
        <v>1</v>
      </c>
      <c r="AL22" s="24">
        <f t="shared" si="34"/>
        <v>473</v>
      </c>
      <c r="AM22" s="24">
        <f t="shared" si="79"/>
        <v>1</v>
      </c>
      <c r="AN22" s="24">
        <f>ROUND(INDEX($C$2:$C$5,MATCH($E22,$B$2:$B$5,0))*$H22/SUMIFS($H:$H,$E:$E,$E22,$B:$B,$B22,AM:AM,1)*IF(B22=$B$10,0.9,1),0)</f>
        <v>675</v>
      </c>
      <c r="AQ22" s="56"/>
      <c r="AR22" s="57"/>
      <c r="AS22" s="57"/>
      <c r="AT22" s="57"/>
      <c r="AU22" s="57"/>
      <c r="AX22" s="4" t="str">
        <f t="shared" si="4"/>
        <v>1,473</v>
      </c>
      <c r="AY22" s="4" t="str">
        <f t="shared" si="5"/>
        <v>1,567</v>
      </c>
      <c r="AZ22" s="4" t="str">
        <f t="shared" si="6"/>
        <v>1,567</v>
      </c>
      <c r="BA22" s="4" t="str">
        <f t="shared" si="7"/>
        <v>1,567</v>
      </c>
      <c r="BB22" s="4" t="str">
        <f t="shared" si="8"/>
        <v>1,473</v>
      </c>
      <c r="BC22" s="4" t="str">
        <f t="shared" si="9"/>
        <v>1,473</v>
      </c>
      <c r="BD22" s="4" t="str">
        <f t="shared" si="10"/>
        <v>1,473</v>
      </c>
      <c r="BE22" s="4" t="str">
        <f t="shared" si="11"/>
        <v>1,473</v>
      </c>
      <c r="BF22" s="4" t="str">
        <f t="shared" si="12"/>
        <v>1,473</v>
      </c>
      <c r="BG22" s="4" t="str">
        <f t="shared" si="13"/>
        <v>1,473</v>
      </c>
      <c r="BH22" s="4" t="str">
        <f t="shared" si="14"/>
        <v>1,473</v>
      </c>
      <c r="BI22" s="4" t="str">
        <f t="shared" si="15"/>
        <v>1,473</v>
      </c>
      <c r="BJ22" s="4" t="str">
        <f t="shared" si="16"/>
        <v>1,675</v>
      </c>
    </row>
    <row r="23" customHeight="1" spans="1:62">
      <c r="A23" s="35">
        <v>141</v>
      </c>
      <c r="B23" s="40" t="s">
        <v>17</v>
      </c>
      <c r="C23" s="40"/>
      <c r="D23" s="46" t="s">
        <v>26</v>
      </c>
      <c r="E23" s="43">
        <v>3</v>
      </c>
      <c r="F23" s="35">
        <v>1</v>
      </c>
      <c r="G23" s="35">
        <f t="shared" si="17"/>
        <v>1</v>
      </c>
      <c r="H23" s="35">
        <v>1</v>
      </c>
      <c r="I23" s="35">
        <v>1</v>
      </c>
      <c r="J23" s="35">
        <v>1</v>
      </c>
      <c r="K23" s="35">
        <v>1</v>
      </c>
      <c r="L23" s="35">
        <v>1</v>
      </c>
      <c r="M23" s="35"/>
      <c r="N23">
        <f t="shared" si="18"/>
        <v>1500</v>
      </c>
      <c r="O23" s="35">
        <v>1</v>
      </c>
      <c r="P23" s="24">
        <f t="shared" si="19"/>
        <v>158</v>
      </c>
      <c r="Q23" s="24">
        <f t="shared" ref="Q23:U23" si="80">IF($L23&lt;=Q$8,1,0)</f>
        <v>1</v>
      </c>
      <c r="R23" s="24">
        <f t="shared" si="21"/>
        <v>189</v>
      </c>
      <c r="S23" s="24">
        <f t="shared" si="80"/>
        <v>1</v>
      </c>
      <c r="T23" s="24">
        <f t="shared" si="22"/>
        <v>189</v>
      </c>
      <c r="U23" s="24">
        <f t="shared" si="80"/>
        <v>1</v>
      </c>
      <c r="V23" s="24">
        <f t="shared" si="23"/>
        <v>189</v>
      </c>
      <c r="W23" s="24">
        <f t="shared" ref="W23:AA23" si="81">IF($L23&lt;=W$8,1,0)</f>
        <v>1</v>
      </c>
      <c r="X23" s="24">
        <f t="shared" si="25"/>
        <v>158</v>
      </c>
      <c r="Y23" s="24">
        <f t="shared" si="81"/>
        <v>1</v>
      </c>
      <c r="Z23" s="24">
        <f t="shared" si="26"/>
        <v>158</v>
      </c>
      <c r="AA23" s="24">
        <f t="shared" si="81"/>
        <v>1</v>
      </c>
      <c r="AB23" s="24">
        <f t="shared" si="27"/>
        <v>158</v>
      </c>
      <c r="AC23" s="24">
        <f t="shared" ref="AC23:AG23" si="82">IF($L23&lt;=AC$8,1,0)</f>
        <v>1</v>
      </c>
      <c r="AD23" s="24">
        <f t="shared" si="29"/>
        <v>158</v>
      </c>
      <c r="AE23" s="24">
        <f t="shared" si="82"/>
        <v>1</v>
      </c>
      <c r="AF23" s="24">
        <f t="shared" si="30"/>
        <v>158</v>
      </c>
      <c r="AG23" s="24">
        <f t="shared" si="82"/>
        <v>1</v>
      </c>
      <c r="AH23" s="24">
        <f t="shared" si="31"/>
        <v>158</v>
      </c>
      <c r="AI23" s="24">
        <f t="shared" ref="AI23:AM23" si="83">IF($L23&lt;=AI$8,1,0)</f>
        <v>1</v>
      </c>
      <c r="AJ23" s="24">
        <f t="shared" si="33"/>
        <v>158</v>
      </c>
      <c r="AK23" s="24">
        <f t="shared" si="83"/>
        <v>1</v>
      </c>
      <c r="AL23" s="24">
        <f t="shared" si="34"/>
        <v>158</v>
      </c>
      <c r="AM23" s="24">
        <f t="shared" si="83"/>
        <v>1</v>
      </c>
      <c r="AN23" s="24">
        <f>ROUND(INDEX($C$2:$C$5,MATCH($E23,$B$2:$B$5,0))*$H23/SUMIFS($H:$H,$E:$E,$E23,$B:$B,$B23,AM:AM,1)*IF(B23=$B$10,0.9,1),0)</f>
        <v>225</v>
      </c>
      <c r="AQ23" s="56"/>
      <c r="AR23" s="57"/>
      <c r="AS23" s="57"/>
      <c r="AT23" s="57"/>
      <c r="AU23" s="57"/>
      <c r="AX23" s="4" t="str">
        <f t="shared" si="4"/>
        <v>1,158</v>
      </c>
      <c r="AY23" s="4" t="str">
        <f t="shared" si="5"/>
        <v>1,189</v>
      </c>
      <c r="AZ23" s="4" t="str">
        <f t="shared" si="6"/>
        <v>1,189</v>
      </c>
      <c r="BA23" s="4" t="str">
        <f t="shared" si="7"/>
        <v>1,189</v>
      </c>
      <c r="BB23" s="4" t="str">
        <f t="shared" si="8"/>
        <v>1,158</v>
      </c>
      <c r="BC23" s="4" t="str">
        <f t="shared" si="9"/>
        <v>1,158</v>
      </c>
      <c r="BD23" s="4" t="str">
        <f t="shared" si="10"/>
        <v>1,158</v>
      </c>
      <c r="BE23" s="4" t="str">
        <f t="shared" si="11"/>
        <v>1,158</v>
      </c>
      <c r="BF23" s="4" t="str">
        <f t="shared" si="12"/>
        <v>1,158</v>
      </c>
      <c r="BG23" s="4" t="str">
        <f t="shared" si="13"/>
        <v>1,158</v>
      </c>
      <c r="BH23" s="4" t="str">
        <f t="shared" si="14"/>
        <v>1,158</v>
      </c>
      <c r="BI23" s="4" t="str">
        <f t="shared" si="15"/>
        <v>1,158</v>
      </c>
      <c r="BJ23" s="4" t="str">
        <f t="shared" si="16"/>
        <v>1,225</v>
      </c>
    </row>
    <row r="24" customHeight="1" spans="1:62">
      <c r="A24" s="35">
        <v>142</v>
      </c>
      <c r="B24" s="40" t="s">
        <v>17</v>
      </c>
      <c r="C24" s="40"/>
      <c r="D24" s="46" t="s">
        <v>27</v>
      </c>
      <c r="E24" s="43">
        <v>3</v>
      </c>
      <c r="F24" s="35">
        <v>1</v>
      </c>
      <c r="G24" s="35">
        <f t="shared" si="17"/>
        <v>1</v>
      </c>
      <c r="H24" s="35">
        <v>1</v>
      </c>
      <c r="I24" s="35">
        <v>1</v>
      </c>
      <c r="J24" s="35">
        <v>1</v>
      </c>
      <c r="K24" s="35">
        <v>1</v>
      </c>
      <c r="L24" s="35">
        <v>2</v>
      </c>
      <c r="M24" s="35"/>
      <c r="N24">
        <f t="shared" si="18"/>
        <v>1500</v>
      </c>
      <c r="O24" s="35">
        <v>1</v>
      </c>
      <c r="P24" s="24">
        <f t="shared" si="19"/>
        <v>158</v>
      </c>
      <c r="Q24" s="24">
        <f t="shared" ref="Q24:U24" si="84">IF($L24&lt;=Q$8,1,0)</f>
        <v>0</v>
      </c>
      <c r="R24" s="24">
        <f t="shared" si="21"/>
        <v>189</v>
      </c>
      <c r="S24" s="24">
        <f t="shared" si="84"/>
        <v>0</v>
      </c>
      <c r="T24" s="24">
        <f t="shared" si="22"/>
        <v>189</v>
      </c>
      <c r="U24" s="24">
        <f t="shared" si="84"/>
        <v>0</v>
      </c>
      <c r="V24" s="24">
        <f t="shared" si="23"/>
        <v>189</v>
      </c>
      <c r="W24" s="24">
        <f t="shared" ref="W24:AA24" si="85">IF($L24&lt;=W$8,1,0)</f>
        <v>1</v>
      </c>
      <c r="X24" s="24">
        <f t="shared" si="25"/>
        <v>158</v>
      </c>
      <c r="Y24" s="24">
        <f t="shared" si="85"/>
        <v>1</v>
      </c>
      <c r="Z24" s="24">
        <f t="shared" si="26"/>
        <v>158</v>
      </c>
      <c r="AA24" s="24">
        <f t="shared" si="85"/>
        <v>1</v>
      </c>
      <c r="AB24" s="24">
        <f t="shared" si="27"/>
        <v>158</v>
      </c>
      <c r="AC24" s="24">
        <f t="shared" ref="AC24:AG24" si="86">IF($L24&lt;=AC$8,1,0)</f>
        <v>1</v>
      </c>
      <c r="AD24" s="24">
        <f t="shared" si="29"/>
        <v>158</v>
      </c>
      <c r="AE24" s="24">
        <f t="shared" si="86"/>
        <v>1</v>
      </c>
      <c r="AF24" s="24">
        <f t="shared" si="30"/>
        <v>158</v>
      </c>
      <c r="AG24" s="24">
        <f t="shared" si="86"/>
        <v>1</v>
      </c>
      <c r="AH24" s="24">
        <f t="shared" si="31"/>
        <v>158</v>
      </c>
      <c r="AI24" s="24">
        <f t="shared" ref="AI24:AM24" si="87">IF($L24&lt;=AI$8,1,0)</f>
        <v>1</v>
      </c>
      <c r="AJ24" s="24">
        <f t="shared" si="33"/>
        <v>158</v>
      </c>
      <c r="AK24" s="24">
        <f t="shared" si="87"/>
        <v>1</v>
      </c>
      <c r="AL24" s="24">
        <f t="shared" si="34"/>
        <v>158</v>
      </c>
      <c r="AM24" s="24">
        <f t="shared" si="87"/>
        <v>1</v>
      </c>
      <c r="AN24" s="24">
        <f>ROUND(INDEX($C$2:$C$5,MATCH($E24,$B$2:$B$5,0))*$H24/SUMIFS($H:$H,$E:$E,$E24,$B:$B,$B24,AM:AM,1)*IF(B24=$B$10,0.9,1),0)</f>
        <v>225</v>
      </c>
      <c r="AQ24" s="56"/>
      <c r="AR24" s="57"/>
      <c r="AS24" s="57"/>
      <c r="AT24" s="57"/>
      <c r="AU24" s="57"/>
      <c r="AX24" s="4" t="str">
        <f t="shared" si="4"/>
        <v>1,158</v>
      </c>
      <c r="AY24" s="4" t="str">
        <f t="shared" si="5"/>
        <v>0,189</v>
      </c>
      <c r="AZ24" s="4" t="str">
        <f t="shared" si="6"/>
        <v>0,189</v>
      </c>
      <c r="BA24" s="4" t="str">
        <f t="shared" si="7"/>
        <v>0,189</v>
      </c>
      <c r="BB24" s="4" t="str">
        <f t="shared" si="8"/>
        <v>1,158</v>
      </c>
      <c r="BC24" s="4" t="str">
        <f t="shared" si="9"/>
        <v>1,158</v>
      </c>
      <c r="BD24" s="4" t="str">
        <f t="shared" si="10"/>
        <v>1,158</v>
      </c>
      <c r="BE24" s="4" t="str">
        <f t="shared" si="11"/>
        <v>1,158</v>
      </c>
      <c r="BF24" s="4" t="str">
        <f t="shared" si="12"/>
        <v>1,158</v>
      </c>
      <c r="BG24" s="4" t="str">
        <f t="shared" si="13"/>
        <v>1,158</v>
      </c>
      <c r="BH24" s="4" t="str">
        <f t="shared" si="14"/>
        <v>1,158</v>
      </c>
      <c r="BI24" s="4" t="str">
        <f t="shared" si="15"/>
        <v>1,158</v>
      </c>
      <c r="BJ24" s="4" t="str">
        <f t="shared" si="16"/>
        <v>1,225</v>
      </c>
    </row>
    <row r="25" customHeight="1" spans="1:62">
      <c r="A25" s="35">
        <v>151</v>
      </c>
      <c r="B25" s="40" t="s">
        <v>17</v>
      </c>
      <c r="C25" s="40" t="s">
        <v>218</v>
      </c>
      <c r="D25" s="47" t="s">
        <v>371</v>
      </c>
      <c r="E25" s="43">
        <v>4</v>
      </c>
      <c r="F25" s="35">
        <v>1</v>
      </c>
      <c r="G25" s="35">
        <f t="shared" si="17"/>
        <v>1</v>
      </c>
      <c r="H25" s="35">
        <v>1</v>
      </c>
      <c r="I25" s="35">
        <v>1</v>
      </c>
      <c r="J25" s="35">
        <v>1</v>
      </c>
      <c r="K25" s="35">
        <v>1</v>
      </c>
      <c r="L25" s="35">
        <v>3</v>
      </c>
      <c r="M25" s="35"/>
      <c r="N25">
        <f t="shared" si="18"/>
        <v>500</v>
      </c>
      <c r="O25" s="35">
        <v>1</v>
      </c>
      <c r="P25" s="24">
        <f t="shared" si="19"/>
        <v>158</v>
      </c>
      <c r="Q25" s="24">
        <f t="shared" ref="Q25:U25" si="88">IF($L25&lt;=Q$8,1,0)</f>
        <v>0</v>
      </c>
      <c r="R25" s="24">
        <f t="shared" si="21"/>
        <v>315</v>
      </c>
      <c r="S25" s="24">
        <f t="shared" si="88"/>
        <v>0</v>
      </c>
      <c r="T25" s="24">
        <f t="shared" si="22"/>
        <v>315</v>
      </c>
      <c r="U25" s="24">
        <f t="shared" si="88"/>
        <v>0</v>
      </c>
      <c r="V25" s="24">
        <f t="shared" si="23"/>
        <v>315</v>
      </c>
      <c r="W25" s="24">
        <f t="shared" ref="W25:AA25" si="89">IF($L25&lt;=W$8,1,0)</f>
        <v>0</v>
      </c>
      <c r="X25" s="24">
        <f t="shared" si="25"/>
        <v>315</v>
      </c>
      <c r="Y25" s="24">
        <f t="shared" si="89"/>
        <v>0</v>
      </c>
      <c r="Z25" s="24">
        <f t="shared" si="26"/>
        <v>315</v>
      </c>
      <c r="AA25" s="24">
        <f t="shared" si="89"/>
        <v>0</v>
      </c>
      <c r="AB25" s="24">
        <f t="shared" si="27"/>
        <v>315</v>
      </c>
      <c r="AC25" s="24">
        <f t="shared" ref="AC25:AG25" si="90">IF($L25&lt;=AC$8,1,0)</f>
        <v>1</v>
      </c>
      <c r="AD25" s="24">
        <f t="shared" si="29"/>
        <v>158</v>
      </c>
      <c r="AE25" s="24">
        <f t="shared" si="90"/>
        <v>1</v>
      </c>
      <c r="AF25" s="24">
        <f t="shared" si="30"/>
        <v>158</v>
      </c>
      <c r="AG25" s="24">
        <f t="shared" si="90"/>
        <v>1</v>
      </c>
      <c r="AH25" s="24">
        <f t="shared" si="31"/>
        <v>158</v>
      </c>
      <c r="AI25" s="24">
        <f t="shared" ref="AI25:AM25" si="91">IF($L25&lt;=AI$8,1,0)</f>
        <v>1</v>
      </c>
      <c r="AJ25" s="24">
        <f t="shared" si="33"/>
        <v>158</v>
      </c>
      <c r="AK25" s="24">
        <f t="shared" si="91"/>
        <v>1</v>
      </c>
      <c r="AL25" s="24">
        <f t="shared" si="34"/>
        <v>158</v>
      </c>
      <c r="AM25" s="24">
        <f t="shared" si="91"/>
        <v>1</v>
      </c>
      <c r="AN25" s="24">
        <f>ROUND(INDEX($C$2:$C$5,MATCH($E25,$B$2:$B$5,0))*$H25/SUMIFS($H:$H,$E:$E,$E25,$B:$B,$B25,AM:AM,1)*IF(B25=$B$10,0.9,1),0)</f>
        <v>225</v>
      </c>
      <c r="AQ25" s="56"/>
      <c r="AR25" s="57"/>
      <c r="AS25" s="57"/>
      <c r="AT25" s="57"/>
      <c r="AU25" s="57"/>
      <c r="AX25" s="4" t="str">
        <f t="shared" si="4"/>
        <v>1,158</v>
      </c>
      <c r="AY25" s="4" t="str">
        <f t="shared" si="5"/>
        <v>0,315</v>
      </c>
      <c r="AZ25" s="4" t="str">
        <f t="shared" si="6"/>
        <v>0,315</v>
      </c>
      <c r="BA25" s="4" t="str">
        <f t="shared" si="7"/>
        <v>0,315</v>
      </c>
      <c r="BB25" s="4" t="str">
        <f t="shared" si="8"/>
        <v>0,315</v>
      </c>
      <c r="BC25" s="4" t="str">
        <f t="shared" si="9"/>
        <v>0,315</v>
      </c>
      <c r="BD25" s="4" t="str">
        <f t="shared" si="10"/>
        <v>0,315</v>
      </c>
      <c r="BE25" s="4" t="str">
        <f t="shared" si="11"/>
        <v>1,158</v>
      </c>
      <c r="BF25" s="4" t="str">
        <f t="shared" si="12"/>
        <v>1,158</v>
      </c>
      <c r="BG25" s="4" t="str">
        <f t="shared" si="13"/>
        <v>1,158</v>
      </c>
      <c r="BH25" s="4" t="str">
        <f t="shared" si="14"/>
        <v>1,158</v>
      </c>
      <c r="BI25" s="4" t="str">
        <f t="shared" si="15"/>
        <v>1,158</v>
      </c>
      <c r="BJ25" s="4" t="str">
        <f t="shared" si="16"/>
        <v>1,225</v>
      </c>
    </row>
    <row r="26" customHeight="1" spans="1:62">
      <c r="A26" s="35">
        <v>152</v>
      </c>
      <c r="B26" s="40" t="s">
        <v>17</v>
      </c>
      <c r="C26" s="40" t="s">
        <v>218</v>
      </c>
      <c r="D26" s="48" t="s">
        <v>29</v>
      </c>
      <c r="E26" s="45">
        <v>4</v>
      </c>
      <c r="F26" s="35">
        <v>1</v>
      </c>
      <c r="G26" s="35">
        <f t="shared" si="17"/>
        <v>1</v>
      </c>
      <c r="H26" s="35">
        <v>1</v>
      </c>
      <c r="I26" s="35">
        <v>1</v>
      </c>
      <c r="J26" s="35">
        <v>1</v>
      </c>
      <c r="K26" s="35">
        <v>1</v>
      </c>
      <c r="L26" s="35">
        <v>1</v>
      </c>
      <c r="M26" s="35" t="s">
        <v>136</v>
      </c>
      <c r="N26">
        <f t="shared" si="18"/>
        <v>500</v>
      </c>
      <c r="O26" s="35">
        <v>1</v>
      </c>
      <c r="P26" s="24">
        <f t="shared" si="19"/>
        <v>158</v>
      </c>
      <c r="Q26" s="24">
        <f t="shared" ref="Q26:U26" si="92">IF($L26&lt;=Q$8,1,0)</f>
        <v>1</v>
      </c>
      <c r="R26" s="24">
        <f t="shared" si="21"/>
        <v>315</v>
      </c>
      <c r="S26" s="24">
        <f t="shared" si="92"/>
        <v>1</v>
      </c>
      <c r="T26" s="24">
        <f t="shared" si="22"/>
        <v>315</v>
      </c>
      <c r="U26" s="24">
        <f t="shared" si="92"/>
        <v>1</v>
      </c>
      <c r="V26" s="24">
        <f t="shared" si="23"/>
        <v>315</v>
      </c>
      <c r="W26" s="24">
        <f t="shared" ref="W26:AA26" si="93">IF($L26&lt;=W$8,1,0)</f>
        <v>1</v>
      </c>
      <c r="X26" s="24">
        <f t="shared" si="25"/>
        <v>315</v>
      </c>
      <c r="Y26" s="24">
        <f t="shared" si="93"/>
        <v>1</v>
      </c>
      <c r="Z26" s="24">
        <f t="shared" si="26"/>
        <v>315</v>
      </c>
      <c r="AA26" s="24">
        <f t="shared" si="93"/>
        <v>1</v>
      </c>
      <c r="AB26" s="24">
        <f t="shared" si="27"/>
        <v>315</v>
      </c>
      <c r="AC26" s="24">
        <f t="shared" ref="AC26:AG26" si="94">IF($L26&lt;=AC$8,1,0)</f>
        <v>1</v>
      </c>
      <c r="AD26" s="24">
        <f t="shared" si="29"/>
        <v>158</v>
      </c>
      <c r="AE26" s="24">
        <f t="shared" si="94"/>
        <v>1</v>
      </c>
      <c r="AF26" s="24">
        <f t="shared" si="30"/>
        <v>158</v>
      </c>
      <c r="AG26" s="24">
        <f t="shared" si="94"/>
        <v>1</v>
      </c>
      <c r="AH26" s="24">
        <f t="shared" si="31"/>
        <v>158</v>
      </c>
      <c r="AI26" s="24">
        <f t="shared" ref="AI26:AM26" si="95">IF($L26&lt;=AI$8,1,0)</f>
        <v>1</v>
      </c>
      <c r="AJ26" s="24">
        <f t="shared" si="33"/>
        <v>158</v>
      </c>
      <c r="AK26" s="24">
        <f t="shared" si="95"/>
        <v>1</v>
      </c>
      <c r="AL26" s="24">
        <f t="shared" si="34"/>
        <v>158</v>
      </c>
      <c r="AM26" s="24">
        <f t="shared" si="95"/>
        <v>1</v>
      </c>
      <c r="AN26" s="24">
        <f>ROUND(INDEX($C$2:$C$5,MATCH($E26,$B$2:$B$5,0))*$H26/SUMIFS($H:$H,$E:$E,$E26,$B:$B,$B26,AM:AM,1)*IF(B26=$B$10,0.9,1),0)</f>
        <v>225</v>
      </c>
      <c r="AQ26" s="56"/>
      <c r="AR26" s="57"/>
      <c r="AS26" s="57"/>
      <c r="AT26" s="57"/>
      <c r="AU26" s="57"/>
      <c r="AX26" s="4" t="str">
        <f t="shared" si="4"/>
        <v>1,158</v>
      </c>
      <c r="AY26" s="4" t="str">
        <f t="shared" si="5"/>
        <v>1,315</v>
      </c>
      <c r="AZ26" s="4" t="str">
        <f t="shared" si="6"/>
        <v>1,315</v>
      </c>
      <c r="BA26" s="4" t="str">
        <f t="shared" si="7"/>
        <v>1,315</v>
      </c>
      <c r="BB26" s="4" t="str">
        <f t="shared" si="8"/>
        <v>1,315</v>
      </c>
      <c r="BC26" s="4" t="str">
        <f t="shared" si="9"/>
        <v>1,315</v>
      </c>
      <c r="BD26" s="4" t="str">
        <f t="shared" si="10"/>
        <v>1,315</v>
      </c>
      <c r="BE26" s="4" t="str">
        <f t="shared" si="11"/>
        <v>1,158</v>
      </c>
      <c r="BF26" s="4" t="str">
        <f t="shared" si="12"/>
        <v>1,158</v>
      </c>
      <c r="BG26" s="4" t="str">
        <f t="shared" si="13"/>
        <v>1,158</v>
      </c>
      <c r="BH26" s="4" t="str">
        <f t="shared" si="14"/>
        <v>1,158</v>
      </c>
      <c r="BI26" s="4" t="str">
        <f t="shared" si="15"/>
        <v>1,158</v>
      </c>
      <c r="BJ26" s="4" t="str">
        <f t="shared" si="16"/>
        <v>1,225</v>
      </c>
    </row>
    <row r="27" customHeight="1" spans="1:62">
      <c r="A27" s="35">
        <v>201</v>
      </c>
      <c r="B27" s="40" t="s">
        <v>32</v>
      </c>
      <c r="C27" s="40" t="s">
        <v>218</v>
      </c>
      <c r="D27" s="41" t="s">
        <v>356</v>
      </c>
      <c r="E27" s="45">
        <v>1</v>
      </c>
      <c r="F27" s="35">
        <v>1</v>
      </c>
      <c r="G27" s="35">
        <f t="shared" si="17"/>
        <v>1</v>
      </c>
      <c r="H27" s="35">
        <v>1</v>
      </c>
      <c r="I27" s="35">
        <v>1</v>
      </c>
      <c r="J27" s="35">
        <v>1</v>
      </c>
      <c r="K27" s="35">
        <v>1</v>
      </c>
      <c r="L27" s="35">
        <v>1</v>
      </c>
      <c r="M27" s="35"/>
      <c r="N27">
        <f t="shared" si="18"/>
        <v>13500</v>
      </c>
      <c r="O27" s="35">
        <v>1</v>
      </c>
      <c r="P27" s="24">
        <f>ROUND(INDEX($C$2:$C$5,MATCH($E27,$B$2:$B$5,0))*$F27/SUMIFS($F:$F,$E:$E,$E27,$B:$B,$B27,O:O,1)*IF(B27=$B$10,0.9,1),0)</f>
        <v>6750</v>
      </c>
      <c r="Q27" s="24">
        <f t="shared" ref="Q27:U27" si="96">IF($L27&lt;=Q$8,1,0)</f>
        <v>1</v>
      </c>
      <c r="R27" s="24">
        <f>ROUND(INDEX($C$2:$C$5,MATCH($E27,$B$2:$B$5,0))*$I27/SUMIFS($I:$I,$E:$E,$E27,$B:$B,$B27,Q:Q,1)*IF(B27=$B$10,0.9,1),0)</f>
        <v>6750</v>
      </c>
      <c r="S27" s="24">
        <f t="shared" si="96"/>
        <v>1</v>
      </c>
      <c r="T27" s="24">
        <f>ROUND(INDEX($C$2:$C$5,MATCH($E27,$B$2:$B$5,0))*$J27/SUMIFS($J:$J,$E:$E,$E27,$B:$B,$B27,S:S,1)*IF(B27=$B$10,0.9,1),0)</f>
        <v>6750</v>
      </c>
      <c r="U27" s="24">
        <f t="shared" si="96"/>
        <v>1</v>
      </c>
      <c r="V27" s="24">
        <f>ROUND(INDEX($C$2:$C$5,MATCH($E27,$B$2:$B$5,0))*$K27/SUMIFS($K:$K,$E:$E,$E27,$B:$B,$B27,U:U,1)*IF(B27=$B$10,0.9,1),0)</f>
        <v>6750</v>
      </c>
      <c r="W27" s="24">
        <f t="shared" ref="W27:AA27" si="97">IF($L27&lt;=W$8,1,0)</f>
        <v>1</v>
      </c>
      <c r="X27" s="24">
        <f>ROUND(INDEX($C$2:$C$5,MATCH($E27,$B$2:$B$5,0))*$F27/SUMIFS($F:$F,$E:$E,$E27,$B:$B,$B27,W:W,1)*IF(B27=$B$10,0.9,1),0)</f>
        <v>6750</v>
      </c>
      <c r="Y27" s="24">
        <f t="shared" si="97"/>
        <v>1</v>
      </c>
      <c r="Z27" s="24">
        <f>ROUND(INDEX($C$2:$C$5,MATCH($E27,$B$2:$B$5,0))*$G27/SUMIFS($G:$G,$E:$E,$E27,$B:$B,$B27,Y:Y,1)*IF(B27=$B$10,0.9,1),0)</f>
        <v>6750</v>
      </c>
      <c r="AA27" s="24">
        <f t="shared" si="97"/>
        <v>1</v>
      </c>
      <c r="AB27" s="24">
        <f>ROUND(INDEX($C$2:$C$5,MATCH($E27,$B$2:$B$5,0))*$H27/SUMIFS($H:$H,$E:$E,$E27,$B:$B,$B27,AA:AA,1)*IF(B27=$B$10,0.9,1),0)</f>
        <v>6750</v>
      </c>
      <c r="AC27" s="24">
        <f t="shared" ref="AC27:AG27" si="98">IF($L27&lt;=AC$8,1,0)</f>
        <v>1</v>
      </c>
      <c r="AD27" s="24">
        <f>ROUND(INDEX($C$2:$C$5,MATCH($E27,$B$2:$B$5,0))*$F27/SUMIFS($F:$F,$E:$E,$E27,$B:$B,$B27,AC:AC,1)*IF(B27=$B$10,0.9,1),0)</f>
        <v>6750</v>
      </c>
      <c r="AE27" s="24">
        <f t="shared" si="98"/>
        <v>1</v>
      </c>
      <c r="AF27" s="24">
        <f>ROUND(INDEX($C$2:$C$5,MATCH($E27,$B$2:$B$5,0))*$G27/SUMIFS($G:$G,$E:$E,$E27,$B:$B,$B27,AE:AE,1)*IF(B27=$B$10,0.9,1),0)</f>
        <v>6750</v>
      </c>
      <c r="AG27" s="24">
        <f t="shared" si="98"/>
        <v>1</v>
      </c>
      <c r="AH27" s="24">
        <f>ROUND(INDEX($C$2:$C$5,MATCH($E27,$B$2:$B$5,0))*$H27/SUMIFS($H:$H,$E:$E,$E27,$B:$B,$B27,AG:AG,1)*IF(B27=$B$10,0.9,1),0)</f>
        <v>6750</v>
      </c>
      <c r="AI27" s="24">
        <f t="shared" ref="AI27:AM27" si="99">IF($L27&lt;=AI$8,1,0)</f>
        <v>1</v>
      </c>
      <c r="AJ27" s="24">
        <f>ROUND(INDEX($C$2:$C$5,MATCH($E27,$B$2:$B$5,0))*$F27/SUMIFS($F:$F,$E:$E,$E27,$B:$B,$B27,AI:AI,1)*IF(B27=$B$10,0.9,1),0)</f>
        <v>6750</v>
      </c>
      <c r="AK27" s="24">
        <f t="shared" si="99"/>
        <v>1</v>
      </c>
      <c r="AL27" s="24">
        <f>ROUND(INDEX($C$2:$C$5,MATCH($E27,$B$2:$B$5,0))*$G27/SUMIFS($G:$G,$E:$E,$E27,$B:$B,$B27,AK:AK,1)*IF(B27=$B$10,0.9,1),0)</f>
        <v>6750</v>
      </c>
      <c r="AM27" s="24">
        <f t="shared" si="99"/>
        <v>1</v>
      </c>
      <c r="AN27" s="24">
        <f>ROUND(INDEX($C$2:$C$5,MATCH($E27,$B$2:$B$5,0))*$H27/SUMIFS($H:$H,$E:$E,$E27,$B:$B,$B27,AM:AM,1)*IF(B27=$B$10,0.9,1),0)</f>
        <v>6750</v>
      </c>
      <c r="AQ27" s="56"/>
      <c r="AR27" s="57"/>
      <c r="AS27" s="57"/>
      <c r="AT27" s="57"/>
      <c r="AU27" s="57"/>
      <c r="AX27" s="4" t="str">
        <f t="shared" si="4"/>
        <v>1,6750</v>
      </c>
      <c r="AY27" s="4" t="str">
        <f t="shared" si="5"/>
        <v>1,6750</v>
      </c>
      <c r="AZ27" s="4" t="str">
        <f t="shared" si="6"/>
        <v>1,6750</v>
      </c>
      <c r="BA27" s="4" t="str">
        <f t="shared" si="7"/>
        <v>1,6750</v>
      </c>
      <c r="BB27" s="4" t="str">
        <f t="shared" si="8"/>
        <v>1,6750</v>
      </c>
      <c r="BC27" s="4" t="str">
        <f t="shared" si="9"/>
        <v>1,6750</v>
      </c>
      <c r="BD27" s="4" t="str">
        <f t="shared" si="10"/>
        <v>1,6750</v>
      </c>
      <c r="BE27" s="4" t="str">
        <f t="shared" si="11"/>
        <v>1,6750</v>
      </c>
      <c r="BF27" s="4" t="str">
        <f t="shared" si="12"/>
        <v>1,6750</v>
      </c>
      <c r="BG27" s="4" t="str">
        <f t="shared" si="13"/>
        <v>1,6750</v>
      </c>
      <c r="BH27" s="4" t="str">
        <f t="shared" si="14"/>
        <v>1,6750</v>
      </c>
      <c r="BI27" s="4" t="str">
        <f t="shared" si="15"/>
        <v>1,6750</v>
      </c>
      <c r="BJ27" s="4" t="str">
        <f t="shared" si="16"/>
        <v>1,6750</v>
      </c>
    </row>
    <row r="28" customHeight="1" spans="1:62">
      <c r="A28" s="49">
        <v>202</v>
      </c>
      <c r="B28" s="40" t="s">
        <v>32</v>
      </c>
      <c r="C28" s="40" t="s">
        <v>218</v>
      </c>
      <c r="D28" s="41" t="s">
        <v>357</v>
      </c>
      <c r="E28" s="45">
        <v>1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/>
      <c r="N28">
        <f t="shared" si="18"/>
        <v>13500</v>
      </c>
      <c r="O28" s="35">
        <v>1</v>
      </c>
      <c r="P28" s="24">
        <f>ROUND(INDEX($C$2:$C$5,MATCH($E28,$B$2:$B$5,0))*$F28/SUMIFS($F:$F,$E:$E,$E28,$B:$B,$B28,O:O,1)*IF(B28=$B$10,0.9,1),0)</f>
        <v>0</v>
      </c>
      <c r="Q28" s="24">
        <f t="shared" ref="Q28:U28" si="100">IF($L28&lt;=Q$8,1,0)</f>
        <v>1</v>
      </c>
      <c r="R28" s="24">
        <f>ROUND(INDEX($C$2:$C$5,MATCH($E28,$B$2:$B$5,0))*$I28/SUMIFS($I:$I,$E:$E,$E28,$B:$B,$B28,Q:Q,1)*IF(B28=$B$10,0.9,1),0)</f>
        <v>0</v>
      </c>
      <c r="S28" s="24">
        <f t="shared" si="100"/>
        <v>1</v>
      </c>
      <c r="T28" s="24">
        <f>ROUND(INDEX($C$2:$C$5,MATCH($E28,$B$2:$B$5,0))*$J28/SUMIFS($J:$J,$E:$E,$E28,$B:$B,$B28,S:S,1)*IF(B28=$B$10,0.9,1),0)</f>
        <v>0</v>
      </c>
      <c r="U28" s="24">
        <f t="shared" si="100"/>
        <v>1</v>
      </c>
      <c r="V28" s="24">
        <f>ROUND(INDEX($C$2:$C$5,MATCH($E28,$B$2:$B$5,0))*$K28/SUMIFS($K:$K,$E:$E,$E28,$B:$B,$B28,U:U,1)*IF(B28=$B$10,0.9,1),0)</f>
        <v>0</v>
      </c>
      <c r="W28" s="24">
        <f t="shared" ref="W28:AA28" si="101">IF($L28&lt;=W$8,1,0)</f>
        <v>1</v>
      </c>
      <c r="X28" s="24">
        <f>ROUND(INDEX($C$2:$C$5,MATCH($E28,$B$2:$B$5,0))*$F28/SUMIFS($F:$F,$E:$E,$E28,$B:$B,$B28,W:W,1)*IF(B28=$B$10,0.9,1),0)</f>
        <v>0</v>
      </c>
      <c r="Y28" s="24">
        <f t="shared" si="101"/>
        <v>1</v>
      </c>
      <c r="Z28" s="24">
        <f>ROUND(INDEX($C$2:$C$5,MATCH($E28,$B$2:$B$5,0))*$G28/SUMIFS($G:$G,$E:$E,$E28,$B:$B,$B28,Y:Y,1)*IF(B28=$B$10,0.9,1),0)</f>
        <v>0</v>
      </c>
      <c r="AA28" s="24">
        <f t="shared" si="101"/>
        <v>1</v>
      </c>
      <c r="AB28" s="24">
        <f>ROUND(INDEX($C$2:$C$5,MATCH($E28,$B$2:$B$5,0))*$H28/SUMIFS($H:$H,$E:$E,$E28,$B:$B,$B28,AA:AA,1)*IF(B28=$B$10,0.9,1),0)</f>
        <v>0</v>
      </c>
      <c r="AC28" s="24">
        <f t="shared" ref="AC28:AG28" si="102">IF($L28&lt;=AC$8,1,0)</f>
        <v>1</v>
      </c>
      <c r="AD28" s="24">
        <f>ROUND(INDEX($C$2:$C$5,MATCH($E28,$B$2:$B$5,0))*$F28/SUMIFS($F:$F,$E:$E,$E28,$B:$B,$B28,AC:AC,1)*IF(B28=$B$10,0.9,1),0)</f>
        <v>0</v>
      </c>
      <c r="AE28" s="24">
        <f t="shared" si="102"/>
        <v>1</v>
      </c>
      <c r="AF28" s="24">
        <f>ROUND(INDEX($C$2:$C$5,MATCH($E28,$B$2:$B$5,0))*$G28/SUMIFS($G:$G,$E:$E,$E28,$B:$B,$B28,AE:AE,1)*IF(B28=$B$10,0.9,1),0)</f>
        <v>0</v>
      </c>
      <c r="AG28" s="24">
        <f t="shared" si="102"/>
        <v>1</v>
      </c>
      <c r="AH28" s="24">
        <f>ROUND(INDEX($C$2:$C$5,MATCH($E28,$B$2:$B$5,0))*$H28/SUMIFS($H:$H,$E:$E,$E28,$B:$B,$B28,AG:AG,1)*IF(B28=$B$10,0.9,1),0)</f>
        <v>0</v>
      </c>
      <c r="AI28" s="24">
        <f t="shared" ref="AI28:AM28" si="103">IF($L28&lt;=AI$8,1,0)</f>
        <v>1</v>
      </c>
      <c r="AJ28" s="24">
        <f>ROUND(INDEX($C$2:$C$5,MATCH($E28,$B$2:$B$5,0))*$F28/SUMIFS($F:$F,$E:$E,$E28,$B:$B,$B28,AI:AI,1)*IF(B28=$B$10,0.9,1),0)</f>
        <v>0</v>
      </c>
      <c r="AK28" s="24">
        <f t="shared" si="103"/>
        <v>1</v>
      </c>
      <c r="AL28" s="24">
        <f>ROUND(INDEX($C$2:$C$5,MATCH($E28,$B$2:$B$5,0))*$G28/SUMIFS($G:$G,$E:$E,$E28,$B:$B,$B28,AK:AK,1)*IF(B28=$B$10,0.9,1),0)</f>
        <v>0</v>
      </c>
      <c r="AM28" s="24">
        <f t="shared" si="103"/>
        <v>1</v>
      </c>
      <c r="AN28" s="24">
        <f>ROUND(INDEX($C$2:$C$5,MATCH($E28,$B$2:$B$5,0))*$H28/SUMIFS($H:$H,$E:$E,$E28,$B:$B,$B28,AM:AM,1)*IF(B28=$B$10,0.9,1),0)</f>
        <v>0</v>
      </c>
      <c r="AX28" s="4" t="str">
        <f t="shared" si="4"/>
        <v>1,0</v>
      </c>
      <c r="AY28" s="4" t="str">
        <f t="shared" si="5"/>
        <v>1,0</v>
      </c>
      <c r="AZ28" s="4" t="str">
        <f t="shared" si="6"/>
        <v>1,0</v>
      </c>
      <c r="BA28" s="4" t="str">
        <f t="shared" si="7"/>
        <v>1,0</v>
      </c>
      <c r="BB28" s="4" t="str">
        <f t="shared" si="8"/>
        <v>1,0</v>
      </c>
      <c r="BC28" s="4" t="str">
        <f t="shared" si="9"/>
        <v>1,0</v>
      </c>
      <c r="BD28" s="4" t="str">
        <f t="shared" si="10"/>
        <v>1,0</v>
      </c>
      <c r="BE28" s="4" t="str">
        <f t="shared" si="11"/>
        <v>1,0</v>
      </c>
      <c r="BF28" s="4" t="str">
        <f t="shared" si="12"/>
        <v>1,0</v>
      </c>
      <c r="BG28" s="4" t="str">
        <f t="shared" si="13"/>
        <v>1,0</v>
      </c>
      <c r="BH28" s="4" t="str">
        <f t="shared" si="14"/>
        <v>1,0</v>
      </c>
      <c r="BI28" s="4" t="str">
        <f t="shared" si="15"/>
        <v>1,0</v>
      </c>
      <c r="BJ28" s="4" t="str">
        <f t="shared" si="16"/>
        <v>1,0</v>
      </c>
    </row>
    <row r="29" customHeight="1" spans="1:62">
      <c r="A29" s="35">
        <v>203</v>
      </c>
      <c r="B29" s="40" t="s">
        <v>32</v>
      </c>
      <c r="C29" s="40" t="s">
        <v>218</v>
      </c>
      <c r="D29" s="41" t="s">
        <v>361</v>
      </c>
      <c r="E29" s="50">
        <v>1</v>
      </c>
      <c r="F29" s="35">
        <v>1</v>
      </c>
      <c r="G29" s="35">
        <f t="shared" si="17"/>
        <v>1</v>
      </c>
      <c r="H29" s="35">
        <v>1</v>
      </c>
      <c r="I29" s="35">
        <v>1</v>
      </c>
      <c r="J29" s="35">
        <v>1</v>
      </c>
      <c r="K29" s="35">
        <v>1</v>
      </c>
      <c r="L29" s="35">
        <v>1</v>
      </c>
      <c r="M29" s="35"/>
      <c r="N29">
        <f t="shared" si="18"/>
        <v>13500</v>
      </c>
      <c r="O29" s="35">
        <v>1</v>
      </c>
      <c r="P29" s="24">
        <f>ROUND(INDEX($C$2:$C$5,MATCH($E29,$B$2:$B$5,0))*$F29/SUMIFS($F:$F,$E:$E,$E29,$B:$B,$B29,O:O,1)*IF(B29=$B$10,0.9,1),0)</f>
        <v>6750</v>
      </c>
      <c r="Q29" s="24">
        <f t="shared" ref="Q29:U29" si="104">IF($L29&lt;=Q$8,1,0)</f>
        <v>1</v>
      </c>
      <c r="R29" s="24">
        <f>ROUND(INDEX($C$2:$C$5,MATCH($E29,$B$2:$B$5,0))*$I29/SUMIFS($I:$I,$E:$E,$E29,$B:$B,$B29,Q:Q,1)*IF(B29=$B$10,0.9,1),0)</f>
        <v>6750</v>
      </c>
      <c r="S29" s="24">
        <f t="shared" si="104"/>
        <v>1</v>
      </c>
      <c r="T29" s="24">
        <f>ROUND(INDEX($C$2:$C$5,MATCH($E29,$B$2:$B$5,0))*$J29/SUMIFS($J:$J,$E:$E,$E29,$B:$B,$B29,S:S,1)*IF(B29=$B$10,0.9,1),0)</f>
        <v>6750</v>
      </c>
      <c r="U29" s="24">
        <f t="shared" si="104"/>
        <v>1</v>
      </c>
      <c r="V29" s="24">
        <f>ROUND(INDEX($C$2:$C$5,MATCH($E29,$B$2:$B$5,0))*$K29/SUMIFS($K:$K,$E:$E,$E29,$B:$B,$B29,U:U,1)*IF(B29=$B$10,0.9,1),0)</f>
        <v>6750</v>
      </c>
      <c r="W29" s="24">
        <f t="shared" ref="W29:AA29" si="105">IF($L29&lt;=W$8,1,0)</f>
        <v>1</v>
      </c>
      <c r="X29" s="24">
        <f>ROUND(INDEX($C$2:$C$5,MATCH($E29,$B$2:$B$5,0))*$F29/SUMIFS($F:$F,$E:$E,$E29,$B:$B,$B29,W:W,1)*IF(B29=$B$10,0.9,1),0)</f>
        <v>6750</v>
      </c>
      <c r="Y29" s="24">
        <f t="shared" si="105"/>
        <v>1</v>
      </c>
      <c r="Z29" s="24">
        <f>ROUND(INDEX($C$2:$C$5,MATCH($E29,$B$2:$B$5,0))*$G29/SUMIFS($G:$G,$E:$E,$E29,$B:$B,$B29,Y:Y,1)*IF(B29=$B$10,0.9,1),0)</f>
        <v>6750</v>
      </c>
      <c r="AA29" s="24">
        <f t="shared" si="105"/>
        <v>1</v>
      </c>
      <c r="AB29" s="24">
        <f>ROUND(INDEX($C$2:$C$5,MATCH($E29,$B$2:$B$5,0))*$H29/SUMIFS($H:$H,$E:$E,$E29,$B:$B,$B29,AA:AA,1)*IF(B29=$B$10,0.9,1),0)</f>
        <v>6750</v>
      </c>
      <c r="AC29" s="24">
        <f t="shared" ref="AC29:AG29" si="106">IF($L29&lt;=AC$8,1,0)</f>
        <v>1</v>
      </c>
      <c r="AD29" s="24">
        <f>ROUND(INDEX($C$2:$C$5,MATCH($E29,$B$2:$B$5,0))*$F29/SUMIFS($F:$F,$E:$E,$E29,$B:$B,$B29,AC:AC,1)*IF(B29=$B$10,0.9,1),0)</f>
        <v>6750</v>
      </c>
      <c r="AE29" s="24">
        <f t="shared" si="106"/>
        <v>1</v>
      </c>
      <c r="AF29" s="24">
        <f>ROUND(INDEX($C$2:$C$5,MATCH($E29,$B$2:$B$5,0))*$G29/SUMIFS($G:$G,$E:$E,$E29,$B:$B,$B29,AE:AE,1)*IF(B29=$B$10,0.9,1),0)</f>
        <v>6750</v>
      </c>
      <c r="AG29" s="24">
        <f t="shared" si="106"/>
        <v>1</v>
      </c>
      <c r="AH29" s="24">
        <f>ROUND(INDEX($C$2:$C$5,MATCH($E29,$B$2:$B$5,0))*$H29/SUMIFS($H:$H,$E:$E,$E29,$B:$B,$B29,AG:AG,1)*IF(B29=$B$10,0.9,1),0)</f>
        <v>6750</v>
      </c>
      <c r="AI29" s="24">
        <f t="shared" ref="AI29:AM29" si="107">IF($L29&lt;=AI$8,1,0)</f>
        <v>1</v>
      </c>
      <c r="AJ29" s="24">
        <f>ROUND(INDEX($C$2:$C$5,MATCH($E29,$B$2:$B$5,0))*$F29/SUMIFS($F:$F,$E:$E,$E29,$B:$B,$B29,AI:AI,1)*IF(B29=$B$10,0.9,1),0)</f>
        <v>6750</v>
      </c>
      <c r="AK29" s="24">
        <f t="shared" si="107"/>
        <v>1</v>
      </c>
      <c r="AL29" s="24">
        <f>ROUND(INDEX($C$2:$C$5,MATCH($E29,$B$2:$B$5,0))*$G29/SUMIFS($G:$G,$E:$E,$E29,$B:$B,$B29,AK:AK,1)*IF(B29=$B$10,0.9,1),0)</f>
        <v>6750</v>
      </c>
      <c r="AM29" s="24">
        <f t="shared" si="107"/>
        <v>1</v>
      </c>
      <c r="AN29" s="24">
        <f>ROUND(INDEX($C$2:$C$5,MATCH($E29,$B$2:$B$5,0))*$H29/SUMIFS($H:$H,$E:$E,$E29,$B:$B,$B29,AM:AM,1)*IF(B29=$B$10,0.9,1),0)</f>
        <v>6750</v>
      </c>
      <c r="AX29" s="4" t="str">
        <f t="shared" si="4"/>
        <v>1,6750</v>
      </c>
      <c r="AY29" s="4" t="str">
        <f t="shared" si="5"/>
        <v>1,6750</v>
      </c>
      <c r="AZ29" s="4" t="str">
        <f t="shared" si="6"/>
        <v>1,6750</v>
      </c>
      <c r="BA29" s="4" t="str">
        <f t="shared" si="7"/>
        <v>1,6750</v>
      </c>
      <c r="BB29" s="4" t="str">
        <f t="shared" si="8"/>
        <v>1,6750</v>
      </c>
      <c r="BC29" s="4" t="str">
        <f t="shared" si="9"/>
        <v>1,6750</v>
      </c>
      <c r="BD29" s="4" t="str">
        <f t="shared" si="10"/>
        <v>1,6750</v>
      </c>
      <c r="BE29" s="4" t="str">
        <f t="shared" si="11"/>
        <v>1,6750</v>
      </c>
      <c r="BF29" s="4" t="str">
        <f t="shared" si="12"/>
        <v>1,6750</v>
      </c>
      <c r="BG29" s="4" t="str">
        <f t="shared" si="13"/>
        <v>1,6750</v>
      </c>
      <c r="BH29" s="4" t="str">
        <f t="shared" si="14"/>
        <v>1,6750</v>
      </c>
      <c r="BI29" s="4" t="str">
        <f t="shared" si="15"/>
        <v>1,6750</v>
      </c>
      <c r="BJ29" s="4" t="str">
        <f t="shared" si="16"/>
        <v>1,6750</v>
      </c>
    </row>
    <row r="30" customHeight="1" spans="1:62">
      <c r="A30" s="35">
        <v>211</v>
      </c>
      <c r="B30" s="40" t="s">
        <v>32</v>
      </c>
      <c r="C30" s="40" t="s">
        <v>218</v>
      </c>
      <c r="D30" s="44" t="s">
        <v>362</v>
      </c>
      <c r="E30" s="50">
        <v>2</v>
      </c>
      <c r="F30" s="35">
        <v>1</v>
      </c>
      <c r="G30" s="35">
        <f t="shared" si="17"/>
        <v>1</v>
      </c>
      <c r="H30" s="35">
        <v>1</v>
      </c>
      <c r="I30" s="35">
        <v>1</v>
      </c>
      <c r="J30" s="35">
        <v>1</v>
      </c>
      <c r="K30" s="35">
        <v>1</v>
      </c>
      <c r="L30" s="35">
        <v>1</v>
      </c>
      <c r="M30" s="35" t="s">
        <v>136</v>
      </c>
      <c r="N30">
        <f t="shared" si="18"/>
        <v>4500</v>
      </c>
      <c r="O30" s="35">
        <v>1</v>
      </c>
      <c r="P30" s="24">
        <f>ROUND(INDEX($C$2:$C$5,MATCH($E30,$B$2:$B$5,0))*$F30/SUMIFS($F:$F,$E:$E,$E30,$B:$B,$B30,O:O,1)*IF(B30=$B$10,0.9,1),0)</f>
        <v>1125</v>
      </c>
      <c r="Q30" s="24">
        <f t="shared" ref="Q30:U30" si="108">IF($L30&lt;=Q$8,1,0)</f>
        <v>1</v>
      </c>
      <c r="R30" s="24">
        <f>ROUND(INDEX($C$2:$C$5,MATCH($E30,$B$2:$B$5,0))*$I30/SUMIFS($I:$I,$E:$E,$E30,$B:$B,$B30,Q:Q,1)*IF(B30=$B$10,0.9,1),0)</f>
        <v>1500</v>
      </c>
      <c r="S30" s="24">
        <f t="shared" si="108"/>
        <v>1</v>
      </c>
      <c r="T30" s="24">
        <f>ROUND(INDEX($C$2:$C$5,MATCH($E30,$B$2:$B$5,0))*$J30/SUMIFS($J:$J,$E:$E,$E30,$B:$B,$B30,S:S,1)*IF(B30=$B$10,0.9,1),0)</f>
        <v>1500</v>
      </c>
      <c r="U30" s="24">
        <f t="shared" si="108"/>
        <v>1</v>
      </c>
      <c r="V30" s="24">
        <f>ROUND(INDEX($C$2:$C$5,MATCH($E30,$B$2:$B$5,0))*$K30/SUMIFS($K:$K,$E:$E,$E30,$B:$B,$B30,U:U,1)*IF(B30=$B$10,0.9,1),0)</f>
        <v>1500</v>
      </c>
      <c r="W30" s="24">
        <f t="shared" ref="W30:AA30" si="109">IF($L30&lt;=W$8,1,0)</f>
        <v>1</v>
      </c>
      <c r="X30" s="24">
        <f>ROUND(INDEX($C$2:$C$5,MATCH($E30,$B$2:$B$5,0))*$F30/SUMIFS($F:$F,$E:$E,$E30,$B:$B,$B30,W:W,1)*IF(B30=$B$10,0.9,1),0)</f>
        <v>1125</v>
      </c>
      <c r="Y30" s="24">
        <f t="shared" si="109"/>
        <v>1</v>
      </c>
      <c r="Z30" s="24">
        <f>ROUND(INDEX($C$2:$C$5,MATCH($E30,$B$2:$B$5,0))*$G30/SUMIFS($G:$G,$E:$E,$E30,$B:$B,$B30,Y:Y,1)*IF(B30=$B$10,0.9,1),0)</f>
        <v>1125</v>
      </c>
      <c r="AA30" s="24">
        <f t="shared" si="109"/>
        <v>1</v>
      </c>
      <c r="AB30" s="24">
        <f>ROUND(INDEX($C$2:$C$5,MATCH($E30,$B$2:$B$5,0))*$H30/SUMIFS($H:$H,$E:$E,$E30,$B:$B,$B30,AA:AA,1)*IF(B30=$B$10,0.9,1),0)</f>
        <v>1125</v>
      </c>
      <c r="AC30" s="24">
        <f t="shared" ref="AC30:AG30" si="110">IF($L30&lt;=AC$8,1,0)</f>
        <v>1</v>
      </c>
      <c r="AD30" s="24">
        <f>ROUND(INDEX($C$2:$C$5,MATCH($E30,$B$2:$B$5,0))*$F30/SUMIFS($F:$F,$E:$E,$E30,$B:$B,$B30,AC:AC,1)*IF(B30=$B$10,0.9,1),0)</f>
        <v>1125</v>
      </c>
      <c r="AE30" s="24">
        <f t="shared" si="110"/>
        <v>1</v>
      </c>
      <c r="AF30" s="24">
        <f>ROUND(INDEX($C$2:$C$5,MATCH($E30,$B$2:$B$5,0))*$G30/SUMIFS($G:$G,$E:$E,$E30,$B:$B,$B30,AE:AE,1)*IF(B30=$B$10,0.9,1),0)</f>
        <v>1125</v>
      </c>
      <c r="AG30" s="24">
        <f t="shared" si="110"/>
        <v>1</v>
      </c>
      <c r="AH30" s="24">
        <f>ROUND(INDEX($C$2:$C$5,MATCH($E30,$B$2:$B$5,0))*$H30/SUMIFS($H:$H,$E:$E,$E30,$B:$B,$B30,AG:AG,1)*IF(B30=$B$10,0.9,1),0)</f>
        <v>1125</v>
      </c>
      <c r="AI30" s="24">
        <f t="shared" ref="AI30:AM30" si="111">IF($L30&lt;=AI$8,1,0)</f>
        <v>1</v>
      </c>
      <c r="AJ30" s="24">
        <f>ROUND(INDEX($C$2:$C$5,MATCH($E30,$B$2:$B$5,0))*$F30/SUMIFS($F:$F,$E:$E,$E30,$B:$B,$B30,AI:AI,1)*IF(B30=$B$10,0.9,1),0)</f>
        <v>1125</v>
      </c>
      <c r="AK30" s="24">
        <f t="shared" si="111"/>
        <v>1</v>
      </c>
      <c r="AL30" s="24">
        <f>ROUND(INDEX($C$2:$C$5,MATCH($E30,$B$2:$B$5,0))*$G30/SUMIFS($G:$G,$E:$E,$E30,$B:$B,$B30,AK:AK,1)*IF(B30=$B$10,0.9,1),0)</f>
        <v>1125</v>
      </c>
      <c r="AM30" s="24">
        <f t="shared" si="111"/>
        <v>1</v>
      </c>
      <c r="AN30" s="24">
        <f>ROUND(INDEX($C$2:$C$5,MATCH($E30,$B$2:$B$5,0))*$H30/SUMIFS($H:$H,$E:$E,$E30,$B:$B,$B30,AM:AM,1)*IF(B30=$B$10,0.9,1),0)</f>
        <v>1125</v>
      </c>
      <c r="AX30" s="4" t="str">
        <f t="shared" si="4"/>
        <v>1,1125</v>
      </c>
      <c r="AY30" s="4" t="str">
        <f t="shared" si="5"/>
        <v>1,1500</v>
      </c>
      <c r="AZ30" s="4" t="str">
        <f t="shared" si="6"/>
        <v>1,1500</v>
      </c>
      <c r="BA30" s="4" t="str">
        <f t="shared" si="7"/>
        <v>1,1500</v>
      </c>
      <c r="BB30" s="4" t="str">
        <f t="shared" si="8"/>
        <v>1,1125</v>
      </c>
      <c r="BC30" s="4" t="str">
        <f t="shared" si="9"/>
        <v>1,1125</v>
      </c>
      <c r="BD30" s="4" t="str">
        <f t="shared" si="10"/>
        <v>1,1125</v>
      </c>
      <c r="BE30" s="4" t="str">
        <f t="shared" si="11"/>
        <v>1,1125</v>
      </c>
      <c r="BF30" s="4" t="str">
        <f t="shared" si="12"/>
        <v>1,1125</v>
      </c>
      <c r="BG30" s="4" t="str">
        <f t="shared" si="13"/>
        <v>1,1125</v>
      </c>
      <c r="BH30" s="4" t="str">
        <f t="shared" si="14"/>
        <v>1,1125</v>
      </c>
      <c r="BI30" s="4" t="str">
        <f t="shared" si="15"/>
        <v>1,1125</v>
      </c>
      <c r="BJ30" s="4" t="str">
        <f t="shared" si="16"/>
        <v>1,1125</v>
      </c>
    </row>
    <row r="31" customHeight="1" spans="1:62">
      <c r="A31" s="49">
        <v>212</v>
      </c>
      <c r="B31" s="40" t="s">
        <v>32</v>
      </c>
      <c r="C31" s="40"/>
      <c r="D31" s="44" t="s">
        <v>363</v>
      </c>
      <c r="E31" s="35">
        <v>2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/>
      <c r="N31">
        <f t="shared" si="18"/>
        <v>4500</v>
      </c>
      <c r="O31" s="35">
        <v>1</v>
      </c>
      <c r="P31" s="24">
        <f>ROUND(INDEX($C$2:$C$5,MATCH($E31,$B$2:$B$5,0))*$F31/SUMIFS($F:$F,$E:$E,$E31,$B:$B,$B31,O:O,1)*IF(B31=$B$10,0.9,1),0)</f>
        <v>0</v>
      </c>
      <c r="Q31" s="24">
        <f t="shared" ref="Q31:U31" si="112">IF($L31&lt;=Q$8,1,0)</f>
        <v>1</v>
      </c>
      <c r="R31" s="24">
        <f>ROUND(INDEX($C$2:$C$5,MATCH($E31,$B$2:$B$5,0))*$I31/SUMIFS($I:$I,$E:$E,$E31,$B:$B,$B31,Q:Q,1)*IF(B31=$B$10,0.9,1),0)</f>
        <v>0</v>
      </c>
      <c r="S31" s="24">
        <f t="shared" si="112"/>
        <v>1</v>
      </c>
      <c r="T31" s="24">
        <f>ROUND(INDEX($C$2:$C$5,MATCH($E31,$B$2:$B$5,0))*$J31/SUMIFS($J:$J,$E:$E,$E31,$B:$B,$B31,S:S,1)*IF(B31=$B$10,0.9,1),0)</f>
        <v>0</v>
      </c>
      <c r="U31" s="24">
        <f t="shared" si="112"/>
        <v>1</v>
      </c>
      <c r="V31" s="24">
        <f>ROUND(INDEX($C$2:$C$5,MATCH($E31,$B$2:$B$5,0))*$K31/SUMIFS($K:$K,$E:$E,$E31,$B:$B,$B31,U:U,1)*IF(B31=$B$10,0.9,1),0)</f>
        <v>0</v>
      </c>
      <c r="W31" s="24">
        <f t="shared" ref="W31:AA31" si="113">IF($L31&lt;=W$8,1,0)</f>
        <v>1</v>
      </c>
      <c r="X31" s="24">
        <f>ROUND(INDEX($C$2:$C$5,MATCH($E31,$B$2:$B$5,0))*$F31/SUMIFS($F:$F,$E:$E,$E31,$B:$B,$B31,W:W,1)*IF(B31=$B$10,0.9,1),0)</f>
        <v>0</v>
      </c>
      <c r="Y31" s="24">
        <f t="shared" si="113"/>
        <v>1</v>
      </c>
      <c r="Z31" s="24">
        <f>ROUND(INDEX($C$2:$C$5,MATCH($E31,$B$2:$B$5,0))*$G31/SUMIFS($G:$G,$E:$E,$E31,$B:$B,$B31,Y:Y,1)*IF(B31=$B$10,0.9,1),0)</f>
        <v>0</v>
      </c>
      <c r="AA31" s="24">
        <f t="shared" si="113"/>
        <v>1</v>
      </c>
      <c r="AB31" s="24">
        <f>ROUND(INDEX($C$2:$C$5,MATCH($E31,$B$2:$B$5,0))*$H31/SUMIFS($H:$H,$E:$E,$E31,$B:$B,$B31,AA:AA,1)*IF(B31=$B$10,0.9,1),0)</f>
        <v>0</v>
      </c>
      <c r="AC31" s="24">
        <f t="shared" ref="AC31:AG31" si="114">IF($L31&lt;=AC$8,1,0)</f>
        <v>1</v>
      </c>
      <c r="AD31" s="24">
        <f>ROUND(INDEX($C$2:$C$5,MATCH($E31,$B$2:$B$5,0))*$F31/SUMIFS($F:$F,$E:$E,$E31,$B:$B,$B31,AC:AC,1)*IF(B31=$B$10,0.9,1),0)</f>
        <v>0</v>
      </c>
      <c r="AE31" s="24">
        <f t="shared" si="114"/>
        <v>1</v>
      </c>
      <c r="AF31" s="24">
        <f>ROUND(INDEX($C$2:$C$5,MATCH($E31,$B$2:$B$5,0))*$G31/SUMIFS($G:$G,$E:$E,$E31,$B:$B,$B31,AE:AE,1)*IF(B31=$B$10,0.9,1),0)</f>
        <v>0</v>
      </c>
      <c r="AG31" s="24">
        <f t="shared" si="114"/>
        <v>1</v>
      </c>
      <c r="AH31" s="24">
        <f>ROUND(INDEX($C$2:$C$5,MATCH($E31,$B$2:$B$5,0))*$H31/SUMIFS($H:$H,$E:$E,$E31,$B:$B,$B31,AG:AG,1)*IF(B31=$B$10,0.9,1),0)</f>
        <v>0</v>
      </c>
      <c r="AI31" s="24">
        <f t="shared" ref="AI31:AM31" si="115">IF($L31&lt;=AI$8,1,0)</f>
        <v>1</v>
      </c>
      <c r="AJ31" s="24">
        <f>ROUND(INDEX($C$2:$C$5,MATCH($E31,$B$2:$B$5,0))*$F31/SUMIFS($F:$F,$E:$E,$E31,$B:$B,$B31,AI:AI,1)*IF(B31=$B$10,0.9,1),0)</f>
        <v>0</v>
      </c>
      <c r="AK31" s="24">
        <f t="shared" si="115"/>
        <v>1</v>
      </c>
      <c r="AL31" s="24">
        <f>ROUND(INDEX($C$2:$C$5,MATCH($E31,$B$2:$B$5,0))*$G31/SUMIFS($G:$G,$E:$E,$E31,$B:$B,$B31,AK:AK,1)*IF(B31=$B$10,0.9,1),0)</f>
        <v>0</v>
      </c>
      <c r="AM31" s="24">
        <f t="shared" si="115"/>
        <v>1</v>
      </c>
      <c r="AN31" s="24">
        <f>ROUND(INDEX($C$2:$C$5,MATCH($E31,$B$2:$B$5,0))*$H31/SUMIFS($H:$H,$E:$E,$E31,$B:$B,$B31,AM:AM,1)*IF(B31=$B$10,0.9,1),0)</f>
        <v>0</v>
      </c>
      <c r="AX31" s="4" t="str">
        <f t="shared" si="4"/>
        <v>1,0</v>
      </c>
      <c r="AY31" s="4" t="str">
        <f t="shared" si="5"/>
        <v>1,0</v>
      </c>
      <c r="AZ31" s="4" t="str">
        <f t="shared" si="6"/>
        <v>1,0</v>
      </c>
      <c r="BA31" s="4" t="str">
        <f t="shared" si="7"/>
        <v>1,0</v>
      </c>
      <c r="BB31" s="4" t="str">
        <f t="shared" si="8"/>
        <v>1,0</v>
      </c>
      <c r="BC31" s="4" t="str">
        <f t="shared" si="9"/>
        <v>1,0</v>
      </c>
      <c r="BD31" s="4" t="str">
        <f t="shared" si="10"/>
        <v>1,0</v>
      </c>
      <c r="BE31" s="4" t="str">
        <f t="shared" si="11"/>
        <v>1,0</v>
      </c>
      <c r="BF31" s="4" t="str">
        <f t="shared" si="12"/>
        <v>1,0</v>
      </c>
      <c r="BG31" s="4" t="str">
        <f t="shared" si="13"/>
        <v>1,0</v>
      </c>
      <c r="BH31" s="4" t="str">
        <f t="shared" si="14"/>
        <v>1,0</v>
      </c>
      <c r="BI31" s="4" t="str">
        <f t="shared" si="15"/>
        <v>1,0</v>
      </c>
      <c r="BJ31" s="4" t="str">
        <f t="shared" si="16"/>
        <v>1,0</v>
      </c>
    </row>
    <row r="32" customHeight="1" spans="1:62">
      <c r="A32" s="49">
        <v>213</v>
      </c>
      <c r="B32" s="40" t="s">
        <v>32</v>
      </c>
      <c r="C32" s="40"/>
      <c r="D32" s="44" t="s">
        <v>364</v>
      </c>
      <c r="E32" s="43">
        <v>2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 t="s">
        <v>136</v>
      </c>
      <c r="N32">
        <f t="shared" si="18"/>
        <v>4500</v>
      </c>
      <c r="O32" s="35">
        <v>1</v>
      </c>
      <c r="P32" s="24">
        <f>ROUND(INDEX($C$2:$C$5,MATCH($E32,$B$2:$B$5,0))*$F32/SUMIFS($F:$F,$E:$E,$E32,$B:$B,$B32,O:O,1)*IF(B32=$B$10,0.9,1),0)</f>
        <v>0</v>
      </c>
      <c r="Q32" s="24">
        <f t="shared" ref="Q32:U32" si="116">IF($L32&lt;=Q$8,1,0)</f>
        <v>1</v>
      </c>
      <c r="R32" s="24">
        <f>ROUND(INDEX($C$2:$C$5,MATCH($E32,$B$2:$B$5,0))*$I32/SUMIFS($I:$I,$E:$E,$E32,$B:$B,$B32,Q:Q,1)*IF(B32=$B$10,0.9,1),0)</f>
        <v>0</v>
      </c>
      <c r="S32" s="24">
        <f t="shared" si="116"/>
        <v>1</v>
      </c>
      <c r="T32" s="24">
        <f>ROUND(INDEX($C$2:$C$5,MATCH($E32,$B$2:$B$5,0))*$J32/SUMIFS($J:$J,$E:$E,$E32,$B:$B,$B32,S:S,1)*IF(B32=$B$10,0.9,1),0)</f>
        <v>0</v>
      </c>
      <c r="U32" s="24">
        <f t="shared" si="116"/>
        <v>1</v>
      </c>
      <c r="V32" s="24">
        <f>ROUND(INDEX($C$2:$C$5,MATCH($E32,$B$2:$B$5,0))*$K32/SUMIFS($K:$K,$E:$E,$E32,$B:$B,$B32,U:U,1)*IF(B32=$B$10,0.9,1),0)</f>
        <v>0</v>
      </c>
      <c r="W32" s="24">
        <f t="shared" ref="W32:AA32" si="117">IF($L32&lt;=W$8,1,0)</f>
        <v>1</v>
      </c>
      <c r="X32" s="24">
        <f>ROUND(INDEX($C$2:$C$5,MATCH($E32,$B$2:$B$5,0))*$F32/SUMIFS($F:$F,$E:$E,$E32,$B:$B,$B32,W:W,1)*IF(B32=$B$10,0.9,1),0)</f>
        <v>0</v>
      </c>
      <c r="Y32" s="24">
        <f t="shared" si="117"/>
        <v>1</v>
      </c>
      <c r="Z32" s="24">
        <f>ROUND(INDEX($C$2:$C$5,MATCH($E32,$B$2:$B$5,0))*$G32/SUMIFS($G:$G,$E:$E,$E32,$B:$B,$B32,Y:Y,1)*IF(B32=$B$10,0.9,1),0)</f>
        <v>0</v>
      </c>
      <c r="AA32" s="24">
        <f t="shared" si="117"/>
        <v>1</v>
      </c>
      <c r="AB32" s="24">
        <f>ROUND(INDEX($C$2:$C$5,MATCH($E32,$B$2:$B$5,0))*$H32/SUMIFS($H:$H,$E:$E,$E32,$B:$B,$B32,AA:AA,1)*IF(B32=$B$10,0.9,1),0)</f>
        <v>0</v>
      </c>
      <c r="AC32" s="24">
        <f t="shared" ref="AC32:AG32" si="118">IF($L32&lt;=AC$8,1,0)</f>
        <v>1</v>
      </c>
      <c r="AD32" s="24">
        <f>ROUND(INDEX($C$2:$C$5,MATCH($E32,$B$2:$B$5,0))*$F32/SUMIFS($F:$F,$E:$E,$E32,$B:$B,$B32,AC:AC,1)*IF(B32=$B$10,0.9,1),0)</f>
        <v>0</v>
      </c>
      <c r="AE32" s="24">
        <f t="shared" si="118"/>
        <v>1</v>
      </c>
      <c r="AF32" s="24">
        <f>ROUND(INDEX($C$2:$C$5,MATCH($E32,$B$2:$B$5,0))*$G32/SUMIFS($G:$G,$E:$E,$E32,$B:$B,$B32,AE:AE,1)*IF(B32=$B$10,0.9,1),0)</f>
        <v>0</v>
      </c>
      <c r="AG32" s="24">
        <f t="shared" si="118"/>
        <v>1</v>
      </c>
      <c r="AH32" s="24">
        <f>ROUND(INDEX($C$2:$C$5,MATCH($E32,$B$2:$B$5,0))*$H32/SUMIFS($H:$H,$E:$E,$E32,$B:$B,$B32,AG:AG,1)*IF(B32=$B$10,0.9,1),0)</f>
        <v>0</v>
      </c>
      <c r="AI32" s="24">
        <f t="shared" ref="AI32:AM32" si="119">IF($L32&lt;=AI$8,1,0)</f>
        <v>1</v>
      </c>
      <c r="AJ32" s="24">
        <f>ROUND(INDEX($C$2:$C$5,MATCH($E32,$B$2:$B$5,0))*$F32/SUMIFS($F:$F,$E:$E,$E32,$B:$B,$B32,AI:AI,1)*IF(B32=$B$10,0.9,1),0)</f>
        <v>0</v>
      </c>
      <c r="AK32" s="24">
        <f t="shared" si="119"/>
        <v>1</v>
      </c>
      <c r="AL32" s="24">
        <f>ROUND(INDEX($C$2:$C$5,MATCH($E32,$B$2:$B$5,0))*$G32/SUMIFS($G:$G,$E:$E,$E32,$B:$B,$B32,AK:AK,1)*IF(B32=$B$10,0.9,1),0)</f>
        <v>0</v>
      </c>
      <c r="AM32" s="24">
        <f t="shared" si="119"/>
        <v>1</v>
      </c>
      <c r="AN32" s="24">
        <f>ROUND(INDEX($C$2:$C$5,MATCH($E32,$B$2:$B$5,0))*$H32/SUMIFS($H:$H,$E:$E,$E32,$B:$B,$B32,AM:AM,1)*IF(B32=$B$10,0.9,1),0)</f>
        <v>0</v>
      </c>
      <c r="AX32" s="4" t="str">
        <f t="shared" si="4"/>
        <v>1,0</v>
      </c>
      <c r="AY32" s="4" t="str">
        <f t="shared" si="5"/>
        <v>1,0</v>
      </c>
      <c r="AZ32" s="4" t="str">
        <f t="shared" si="6"/>
        <v>1,0</v>
      </c>
      <c r="BA32" s="4" t="str">
        <f t="shared" si="7"/>
        <v>1,0</v>
      </c>
      <c r="BB32" s="4" t="str">
        <f t="shared" si="8"/>
        <v>1,0</v>
      </c>
      <c r="BC32" s="4" t="str">
        <f t="shared" si="9"/>
        <v>1,0</v>
      </c>
      <c r="BD32" s="4" t="str">
        <f t="shared" si="10"/>
        <v>1,0</v>
      </c>
      <c r="BE32" s="4" t="str">
        <f t="shared" si="11"/>
        <v>1,0</v>
      </c>
      <c r="BF32" s="4" t="str">
        <f t="shared" si="12"/>
        <v>1,0</v>
      </c>
      <c r="BG32" s="4" t="str">
        <f t="shared" si="13"/>
        <v>1,0</v>
      </c>
      <c r="BH32" s="4" t="str">
        <f t="shared" si="14"/>
        <v>1,0</v>
      </c>
      <c r="BI32" s="4" t="str">
        <f t="shared" si="15"/>
        <v>1,0</v>
      </c>
      <c r="BJ32" s="4" t="str">
        <f t="shared" si="16"/>
        <v>1,0</v>
      </c>
    </row>
    <row r="33" customHeight="1" spans="1:62">
      <c r="A33" s="35">
        <v>214</v>
      </c>
      <c r="B33" s="40" t="s">
        <v>32</v>
      </c>
      <c r="C33" s="40"/>
      <c r="D33" s="44" t="s">
        <v>365</v>
      </c>
      <c r="E33" s="43">
        <v>2</v>
      </c>
      <c r="F33" s="35">
        <v>1</v>
      </c>
      <c r="G33" s="35">
        <f t="shared" si="17"/>
        <v>1</v>
      </c>
      <c r="H33" s="35">
        <v>1</v>
      </c>
      <c r="I33" s="35">
        <v>1</v>
      </c>
      <c r="J33" s="35">
        <v>1</v>
      </c>
      <c r="K33" s="35">
        <v>1</v>
      </c>
      <c r="L33" s="35">
        <v>1</v>
      </c>
      <c r="M33" s="35"/>
      <c r="N33">
        <f t="shared" si="18"/>
        <v>4500</v>
      </c>
      <c r="O33" s="35">
        <v>1</v>
      </c>
      <c r="P33" s="24">
        <f>ROUND(INDEX($C$2:$C$5,MATCH($E33,$B$2:$B$5,0))*$F33/SUMIFS($F:$F,$E:$E,$E33,$B:$B,$B33,O:O,1)*IF(B33=$B$10,0.9,1),0)</f>
        <v>1125</v>
      </c>
      <c r="Q33" s="24">
        <f t="shared" ref="Q33:U33" si="120">IF($L33&lt;=Q$8,1,0)</f>
        <v>1</v>
      </c>
      <c r="R33" s="24">
        <f>ROUND(INDEX($C$2:$C$5,MATCH($E33,$B$2:$B$5,0))*$I33/SUMIFS($I:$I,$E:$E,$E33,$B:$B,$B33,Q:Q,1)*IF(B33=$B$10,0.9,1),0)</f>
        <v>1500</v>
      </c>
      <c r="S33" s="24">
        <f t="shared" si="120"/>
        <v>1</v>
      </c>
      <c r="T33" s="24">
        <f>ROUND(INDEX($C$2:$C$5,MATCH($E33,$B$2:$B$5,0))*$J33/SUMIFS($J:$J,$E:$E,$E33,$B:$B,$B33,S:S,1)*IF(B33=$B$10,0.9,1),0)</f>
        <v>1500</v>
      </c>
      <c r="U33" s="24">
        <f t="shared" si="120"/>
        <v>1</v>
      </c>
      <c r="V33" s="24">
        <f>ROUND(INDEX($C$2:$C$5,MATCH($E33,$B$2:$B$5,0))*$K33/SUMIFS($K:$K,$E:$E,$E33,$B:$B,$B33,U:U,1)*IF(B33=$B$10,0.9,1),0)</f>
        <v>1500</v>
      </c>
      <c r="W33" s="24">
        <f t="shared" ref="W33:AA33" si="121">IF($L33&lt;=W$8,1,0)</f>
        <v>1</v>
      </c>
      <c r="X33" s="24">
        <f>ROUND(INDEX($C$2:$C$5,MATCH($E33,$B$2:$B$5,0))*$F33/SUMIFS($F:$F,$E:$E,$E33,$B:$B,$B33,W:W,1)*IF(B33=$B$10,0.9,1),0)</f>
        <v>1125</v>
      </c>
      <c r="Y33" s="24">
        <f t="shared" si="121"/>
        <v>1</v>
      </c>
      <c r="Z33" s="24">
        <f>ROUND(INDEX($C$2:$C$5,MATCH($E33,$B$2:$B$5,0))*$G33/SUMIFS($G:$G,$E:$E,$E33,$B:$B,$B33,Y:Y,1)*IF(B33=$B$10,0.9,1),0)</f>
        <v>1125</v>
      </c>
      <c r="AA33" s="24">
        <f t="shared" si="121"/>
        <v>1</v>
      </c>
      <c r="AB33" s="24">
        <f>ROUND(INDEX($C$2:$C$5,MATCH($E33,$B$2:$B$5,0))*$H33/SUMIFS($H:$H,$E:$E,$E33,$B:$B,$B33,AA:AA,1)*IF(B33=$B$10,0.9,1),0)</f>
        <v>1125</v>
      </c>
      <c r="AC33" s="24">
        <f t="shared" ref="AC33:AG33" si="122">IF($L33&lt;=AC$8,1,0)</f>
        <v>1</v>
      </c>
      <c r="AD33" s="24">
        <f>ROUND(INDEX($C$2:$C$5,MATCH($E33,$B$2:$B$5,0))*$F33/SUMIFS($F:$F,$E:$E,$E33,$B:$B,$B33,AC:AC,1)*IF(B33=$B$10,0.9,1),0)</f>
        <v>1125</v>
      </c>
      <c r="AE33" s="24">
        <f t="shared" si="122"/>
        <v>1</v>
      </c>
      <c r="AF33" s="24">
        <f>ROUND(INDEX($C$2:$C$5,MATCH($E33,$B$2:$B$5,0))*$G33/SUMIFS($G:$G,$E:$E,$E33,$B:$B,$B33,AE:AE,1)*IF(B33=$B$10,0.9,1),0)</f>
        <v>1125</v>
      </c>
      <c r="AG33" s="24">
        <f t="shared" si="122"/>
        <v>1</v>
      </c>
      <c r="AH33" s="24">
        <f>ROUND(INDEX($C$2:$C$5,MATCH($E33,$B$2:$B$5,0))*$H33/SUMIFS($H:$H,$E:$E,$E33,$B:$B,$B33,AG:AG,1)*IF(B33=$B$10,0.9,1),0)</f>
        <v>1125</v>
      </c>
      <c r="AI33" s="24">
        <f t="shared" ref="AI33:AM33" si="123">IF($L33&lt;=AI$8,1,0)</f>
        <v>1</v>
      </c>
      <c r="AJ33" s="24">
        <f>ROUND(INDEX($C$2:$C$5,MATCH($E33,$B$2:$B$5,0))*$F33/SUMIFS($F:$F,$E:$E,$E33,$B:$B,$B33,AI:AI,1)*IF(B33=$B$10,0.9,1),0)</f>
        <v>1125</v>
      </c>
      <c r="AK33" s="24">
        <f t="shared" si="123"/>
        <v>1</v>
      </c>
      <c r="AL33" s="24">
        <f>ROUND(INDEX($C$2:$C$5,MATCH($E33,$B$2:$B$5,0))*$G33/SUMIFS($G:$G,$E:$E,$E33,$B:$B,$B33,AK:AK,1)*IF(B33=$B$10,0.9,1),0)</f>
        <v>1125</v>
      </c>
      <c r="AM33" s="24">
        <f t="shared" si="123"/>
        <v>1</v>
      </c>
      <c r="AN33" s="24">
        <f>ROUND(INDEX($C$2:$C$5,MATCH($E33,$B$2:$B$5,0))*$H33/SUMIFS($H:$H,$E:$E,$E33,$B:$B,$B33,AM:AM,1)*IF(B33=$B$10,0.9,1),0)</f>
        <v>1125</v>
      </c>
      <c r="AX33" s="4" t="str">
        <f t="shared" si="4"/>
        <v>1,1125</v>
      </c>
      <c r="AY33" s="4" t="str">
        <f t="shared" si="5"/>
        <v>1,1500</v>
      </c>
      <c r="AZ33" s="4" t="str">
        <f t="shared" si="6"/>
        <v>1,1500</v>
      </c>
      <c r="BA33" s="4" t="str">
        <f t="shared" si="7"/>
        <v>1,1500</v>
      </c>
      <c r="BB33" s="4" t="str">
        <f t="shared" si="8"/>
        <v>1,1125</v>
      </c>
      <c r="BC33" s="4" t="str">
        <f t="shared" si="9"/>
        <v>1,1125</v>
      </c>
      <c r="BD33" s="4" t="str">
        <f t="shared" si="10"/>
        <v>1,1125</v>
      </c>
      <c r="BE33" s="4" t="str">
        <f t="shared" si="11"/>
        <v>1,1125</v>
      </c>
      <c r="BF33" s="4" t="str">
        <f t="shared" si="12"/>
        <v>1,1125</v>
      </c>
      <c r="BG33" s="4" t="str">
        <f t="shared" si="13"/>
        <v>1,1125</v>
      </c>
      <c r="BH33" s="4" t="str">
        <f t="shared" si="14"/>
        <v>1,1125</v>
      </c>
      <c r="BI33" s="4" t="str">
        <f t="shared" si="15"/>
        <v>1,1125</v>
      </c>
      <c r="BJ33" s="4" t="str">
        <f t="shared" si="16"/>
        <v>1,1125</v>
      </c>
    </row>
    <row r="34" customHeight="1" spans="1:62">
      <c r="A34" s="35">
        <v>221</v>
      </c>
      <c r="B34" s="40" t="s">
        <v>32</v>
      </c>
      <c r="C34" s="40"/>
      <c r="D34" s="46" t="s">
        <v>366</v>
      </c>
      <c r="E34" s="43">
        <v>3</v>
      </c>
      <c r="F34" s="35">
        <v>1</v>
      </c>
      <c r="G34" s="35">
        <f t="shared" si="17"/>
        <v>1</v>
      </c>
      <c r="H34" s="35">
        <v>1</v>
      </c>
      <c r="I34" s="35">
        <v>1</v>
      </c>
      <c r="J34" s="35">
        <v>1</v>
      </c>
      <c r="K34" s="35">
        <v>1</v>
      </c>
      <c r="L34" s="35">
        <v>1</v>
      </c>
      <c r="M34" s="35"/>
      <c r="N34">
        <f t="shared" si="18"/>
        <v>1500</v>
      </c>
      <c r="O34" s="35">
        <v>1</v>
      </c>
      <c r="P34" s="24">
        <f>ROUND(INDEX($C$2:$C$5,MATCH($E34,$B$2:$B$5,0))*$F34/SUMIFS($F:$F,$E:$E,$E34,$B:$B,$B34,O:O,1)*IF(B34=$B$10,0.9,1),0)</f>
        <v>250</v>
      </c>
      <c r="Q34" s="24">
        <f t="shared" ref="Q34:U34" si="124">IF($L34&lt;=Q$8,1,0)</f>
        <v>1</v>
      </c>
      <c r="R34" s="24">
        <f>ROUND(INDEX($C$2:$C$5,MATCH($E34,$B$2:$B$5,0))*$I34/SUMIFS($I:$I,$E:$E,$E34,$B:$B,$B34,Q:Q,1)*IF(B34=$B$10,0.9,1),0)</f>
        <v>300</v>
      </c>
      <c r="S34" s="24">
        <f t="shared" si="124"/>
        <v>1</v>
      </c>
      <c r="T34" s="24">
        <f>ROUND(INDEX($C$2:$C$5,MATCH($E34,$B$2:$B$5,0))*$J34/SUMIFS($J:$J,$E:$E,$E34,$B:$B,$B34,S:S,1)*IF(B34=$B$10,0.9,1),0)</f>
        <v>300</v>
      </c>
      <c r="U34" s="24">
        <f t="shared" si="124"/>
        <v>1</v>
      </c>
      <c r="V34" s="24">
        <f>ROUND(INDEX($C$2:$C$5,MATCH($E34,$B$2:$B$5,0))*$K34/SUMIFS($K:$K,$E:$E,$E34,$B:$B,$B34,U:U,1)*IF(B34=$B$10,0.9,1),0)</f>
        <v>300</v>
      </c>
      <c r="W34" s="24">
        <f t="shared" ref="W34:AA34" si="125">IF($L34&lt;=W$8,1,0)</f>
        <v>1</v>
      </c>
      <c r="X34" s="24">
        <f>ROUND(INDEX($C$2:$C$5,MATCH($E34,$B$2:$B$5,0))*$F34/SUMIFS($F:$F,$E:$E,$E34,$B:$B,$B34,W:W,1)*IF(B34=$B$10,0.9,1),0)</f>
        <v>250</v>
      </c>
      <c r="Y34" s="24">
        <f t="shared" si="125"/>
        <v>1</v>
      </c>
      <c r="Z34" s="24">
        <f>ROUND(INDEX($C$2:$C$5,MATCH($E34,$B$2:$B$5,0))*$G34/SUMIFS($G:$G,$E:$E,$E34,$B:$B,$B34,Y:Y,1)*IF(B34=$B$10,0.9,1),0)</f>
        <v>250</v>
      </c>
      <c r="AA34" s="24">
        <f t="shared" si="125"/>
        <v>1</v>
      </c>
      <c r="AB34" s="24">
        <f>ROUND(INDEX($C$2:$C$5,MATCH($E34,$B$2:$B$5,0))*$H34/SUMIFS($H:$H,$E:$E,$E34,$B:$B,$B34,AA:AA,1)*IF(B34=$B$10,0.9,1),0)</f>
        <v>250</v>
      </c>
      <c r="AC34" s="24">
        <f t="shared" ref="AC34:AG34" si="126">IF($L34&lt;=AC$8,1,0)</f>
        <v>1</v>
      </c>
      <c r="AD34" s="24">
        <f>ROUND(INDEX($C$2:$C$5,MATCH($E34,$B$2:$B$5,0))*$F34/SUMIFS($F:$F,$E:$E,$E34,$B:$B,$B34,AC:AC,1)*IF(B34=$B$10,0.9,1),0)</f>
        <v>250</v>
      </c>
      <c r="AE34" s="24">
        <f t="shared" si="126"/>
        <v>1</v>
      </c>
      <c r="AF34" s="24">
        <f>ROUND(INDEX($C$2:$C$5,MATCH($E34,$B$2:$B$5,0))*$G34/SUMIFS($G:$G,$E:$E,$E34,$B:$B,$B34,AE:AE,1)*IF(B34=$B$10,0.9,1),0)</f>
        <v>250</v>
      </c>
      <c r="AG34" s="24">
        <f t="shared" si="126"/>
        <v>1</v>
      </c>
      <c r="AH34" s="24">
        <f>ROUND(INDEX($C$2:$C$5,MATCH($E34,$B$2:$B$5,0))*$H34/SUMIFS($H:$H,$E:$E,$E34,$B:$B,$B34,AG:AG,1)*IF(B34=$B$10,0.9,1),0)</f>
        <v>250</v>
      </c>
      <c r="AI34" s="24">
        <f t="shared" ref="AI34:AM34" si="127">IF($L34&lt;=AI$8,1,0)</f>
        <v>1</v>
      </c>
      <c r="AJ34" s="24">
        <f>ROUND(INDEX($C$2:$C$5,MATCH($E34,$B$2:$B$5,0))*$F34/SUMIFS($F:$F,$E:$E,$E34,$B:$B,$B34,AI:AI,1)*IF(B34=$B$10,0.9,1),0)</f>
        <v>250</v>
      </c>
      <c r="AK34" s="24">
        <f t="shared" si="127"/>
        <v>1</v>
      </c>
      <c r="AL34" s="24">
        <f>ROUND(INDEX($C$2:$C$5,MATCH($E34,$B$2:$B$5,0))*$G34/SUMIFS($G:$G,$E:$E,$E34,$B:$B,$B34,AK:AK,1)*IF(B34=$B$10,0.9,1),0)</f>
        <v>250</v>
      </c>
      <c r="AM34" s="24">
        <f t="shared" si="127"/>
        <v>1</v>
      </c>
      <c r="AN34" s="24">
        <f>ROUND(INDEX($C$2:$C$5,MATCH($E34,$B$2:$B$5,0))*$H34/SUMIFS($H:$H,$E:$E,$E34,$B:$B,$B34,AM:AM,1)*IF(B34=$B$10,0.9,1),0)</f>
        <v>250</v>
      </c>
      <c r="AX34" s="4" t="str">
        <f t="shared" si="4"/>
        <v>1,250</v>
      </c>
      <c r="AY34" s="4" t="str">
        <f t="shared" si="5"/>
        <v>1,300</v>
      </c>
      <c r="AZ34" s="4" t="str">
        <f t="shared" si="6"/>
        <v>1,300</v>
      </c>
      <c r="BA34" s="4" t="str">
        <f t="shared" si="7"/>
        <v>1,300</v>
      </c>
      <c r="BB34" s="4" t="str">
        <f t="shared" si="8"/>
        <v>1,250</v>
      </c>
      <c r="BC34" s="4" t="str">
        <f t="shared" si="9"/>
        <v>1,250</v>
      </c>
      <c r="BD34" s="4" t="str">
        <f t="shared" si="10"/>
        <v>1,250</v>
      </c>
      <c r="BE34" s="4" t="str">
        <f t="shared" si="11"/>
        <v>1,250</v>
      </c>
      <c r="BF34" s="4" t="str">
        <f t="shared" si="12"/>
        <v>1,250</v>
      </c>
      <c r="BG34" s="4" t="str">
        <f t="shared" si="13"/>
        <v>1,250</v>
      </c>
      <c r="BH34" s="4" t="str">
        <f t="shared" si="14"/>
        <v>1,250</v>
      </c>
      <c r="BI34" s="4" t="str">
        <f t="shared" si="15"/>
        <v>1,250</v>
      </c>
      <c r="BJ34" s="4" t="str">
        <f t="shared" si="16"/>
        <v>1,250</v>
      </c>
    </row>
    <row r="35" customHeight="1" spans="1:62">
      <c r="A35" s="35">
        <v>222</v>
      </c>
      <c r="B35" s="40" t="s">
        <v>32</v>
      </c>
      <c r="C35" s="40"/>
      <c r="D35" s="46" t="s">
        <v>367</v>
      </c>
      <c r="E35" s="43">
        <v>3</v>
      </c>
      <c r="F35" s="35">
        <v>1</v>
      </c>
      <c r="G35" s="35">
        <f t="shared" si="17"/>
        <v>1</v>
      </c>
      <c r="H35" s="35">
        <v>1</v>
      </c>
      <c r="I35" s="35">
        <v>1</v>
      </c>
      <c r="J35" s="35">
        <v>1</v>
      </c>
      <c r="K35" s="35">
        <v>1</v>
      </c>
      <c r="L35" s="35">
        <v>1</v>
      </c>
      <c r="M35" s="35"/>
      <c r="N35">
        <f t="shared" si="18"/>
        <v>1500</v>
      </c>
      <c r="O35" s="35">
        <v>1</v>
      </c>
      <c r="P35" s="24">
        <f>ROUND(INDEX($C$2:$C$5,MATCH($E35,$B$2:$B$5,0))*$F35/SUMIFS($F:$F,$E:$E,$E35,$B:$B,$B35,O:O,1)*IF(B35=$B$10,0.9,1),0)</f>
        <v>250</v>
      </c>
      <c r="Q35" s="24">
        <f t="shared" ref="Q35:U35" si="128">IF($L35&lt;=Q$8,1,0)</f>
        <v>1</v>
      </c>
      <c r="R35" s="24">
        <f>ROUND(INDEX($C$2:$C$5,MATCH($E35,$B$2:$B$5,0))*$I35/SUMIFS($I:$I,$E:$E,$E35,$B:$B,$B35,Q:Q,1)*IF(B35=$B$10,0.9,1),0)</f>
        <v>300</v>
      </c>
      <c r="S35" s="24">
        <f t="shared" si="128"/>
        <v>1</v>
      </c>
      <c r="T35" s="24">
        <f>ROUND(INDEX($C$2:$C$5,MATCH($E35,$B$2:$B$5,0))*$J35/SUMIFS($J:$J,$E:$E,$E35,$B:$B,$B35,S:S,1)*IF(B35=$B$10,0.9,1),0)</f>
        <v>300</v>
      </c>
      <c r="U35" s="24">
        <f t="shared" si="128"/>
        <v>1</v>
      </c>
      <c r="V35" s="24">
        <f>ROUND(INDEX($C$2:$C$5,MATCH($E35,$B$2:$B$5,0))*$K35/SUMIFS($K:$K,$E:$E,$E35,$B:$B,$B35,U:U,1)*IF(B35=$B$10,0.9,1),0)</f>
        <v>300</v>
      </c>
      <c r="W35" s="24">
        <f t="shared" ref="W35:AA35" si="129">IF($L35&lt;=W$8,1,0)</f>
        <v>1</v>
      </c>
      <c r="X35" s="24">
        <f>ROUND(INDEX($C$2:$C$5,MATCH($E35,$B$2:$B$5,0))*$F35/SUMIFS($F:$F,$E:$E,$E35,$B:$B,$B35,W:W,1)*IF(B35=$B$10,0.9,1),0)</f>
        <v>250</v>
      </c>
      <c r="Y35" s="24">
        <f t="shared" si="129"/>
        <v>1</v>
      </c>
      <c r="Z35" s="24">
        <f>ROUND(INDEX($C$2:$C$5,MATCH($E35,$B$2:$B$5,0))*$G35/SUMIFS($G:$G,$E:$E,$E35,$B:$B,$B35,Y:Y,1)*IF(B35=$B$10,0.9,1),0)</f>
        <v>250</v>
      </c>
      <c r="AA35" s="24">
        <f t="shared" si="129"/>
        <v>1</v>
      </c>
      <c r="AB35" s="24">
        <f>ROUND(INDEX($C$2:$C$5,MATCH($E35,$B$2:$B$5,0))*$H35/SUMIFS($H:$H,$E:$E,$E35,$B:$B,$B35,AA:AA,1)*IF(B35=$B$10,0.9,1),0)</f>
        <v>250</v>
      </c>
      <c r="AC35" s="24">
        <f t="shared" ref="AC35:AG35" si="130">IF($L35&lt;=AC$8,1,0)</f>
        <v>1</v>
      </c>
      <c r="AD35" s="24">
        <f>ROUND(INDEX($C$2:$C$5,MATCH($E35,$B$2:$B$5,0))*$F35/SUMIFS($F:$F,$E:$E,$E35,$B:$B,$B35,AC:AC,1)*IF(B35=$B$10,0.9,1),0)</f>
        <v>250</v>
      </c>
      <c r="AE35" s="24">
        <f t="shared" si="130"/>
        <v>1</v>
      </c>
      <c r="AF35" s="24">
        <f>ROUND(INDEX($C$2:$C$5,MATCH($E35,$B$2:$B$5,0))*$G35/SUMIFS($G:$G,$E:$E,$E35,$B:$B,$B35,AE:AE,1)*IF(B35=$B$10,0.9,1),0)</f>
        <v>250</v>
      </c>
      <c r="AG35" s="24">
        <f t="shared" si="130"/>
        <v>1</v>
      </c>
      <c r="AH35" s="24">
        <f>ROUND(INDEX($C$2:$C$5,MATCH($E35,$B$2:$B$5,0))*$H35/SUMIFS($H:$H,$E:$E,$E35,$B:$B,$B35,AG:AG,1)*IF(B35=$B$10,0.9,1),0)</f>
        <v>250</v>
      </c>
      <c r="AI35" s="24">
        <f t="shared" ref="AI35:AM35" si="131">IF($L35&lt;=AI$8,1,0)</f>
        <v>1</v>
      </c>
      <c r="AJ35" s="24">
        <f>ROUND(INDEX($C$2:$C$5,MATCH($E35,$B$2:$B$5,0))*$F35/SUMIFS($F:$F,$E:$E,$E35,$B:$B,$B35,AI:AI,1)*IF(B35=$B$10,0.9,1),0)</f>
        <v>250</v>
      </c>
      <c r="AK35" s="24">
        <f t="shared" si="131"/>
        <v>1</v>
      </c>
      <c r="AL35" s="24">
        <f>ROUND(INDEX($C$2:$C$5,MATCH($E35,$B$2:$B$5,0))*$G35/SUMIFS($G:$G,$E:$E,$E35,$B:$B,$B35,AK:AK,1)*IF(B35=$B$10,0.9,1),0)</f>
        <v>250</v>
      </c>
      <c r="AM35" s="24">
        <f t="shared" si="131"/>
        <v>1</v>
      </c>
      <c r="AN35" s="24">
        <f>ROUND(INDEX($C$2:$C$5,MATCH($E35,$B$2:$B$5,0))*$H35/SUMIFS($H:$H,$E:$E,$E35,$B:$B,$B35,AM:AM,1)*IF(B35=$B$10,0.9,1),0)</f>
        <v>250</v>
      </c>
      <c r="AX35" s="4" t="str">
        <f t="shared" si="4"/>
        <v>1,250</v>
      </c>
      <c r="AY35" s="4" t="str">
        <f t="shared" si="5"/>
        <v>1,300</v>
      </c>
      <c r="AZ35" s="4" t="str">
        <f t="shared" si="6"/>
        <v>1,300</v>
      </c>
      <c r="BA35" s="4" t="str">
        <f t="shared" si="7"/>
        <v>1,300</v>
      </c>
      <c r="BB35" s="4" t="str">
        <f t="shared" si="8"/>
        <v>1,250</v>
      </c>
      <c r="BC35" s="4" t="str">
        <f t="shared" si="9"/>
        <v>1,250</v>
      </c>
      <c r="BD35" s="4" t="str">
        <f t="shared" si="10"/>
        <v>1,250</v>
      </c>
      <c r="BE35" s="4" t="str">
        <f t="shared" si="11"/>
        <v>1,250</v>
      </c>
      <c r="BF35" s="4" t="str">
        <f t="shared" si="12"/>
        <v>1,250</v>
      </c>
      <c r="BG35" s="4" t="str">
        <f t="shared" si="13"/>
        <v>1,250</v>
      </c>
      <c r="BH35" s="4" t="str">
        <f t="shared" si="14"/>
        <v>1,250</v>
      </c>
      <c r="BI35" s="4" t="str">
        <f t="shared" si="15"/>
        <v>1,250</v>
      </c>
      <c r="BJ35" s="4" t="str">
        <f t="shared" si="16"/>
        <v>1,250</v>
      </c>
    </row>
    <row r="36" customHeight="1" spans="1:62">
      <c r="A36" s="35">
        <v>223</v>
      </c>
      <c r="B36" s="40" t="s">
        <v>32</v>
      </c>
      <c r="C36" s="40"/>
      <c r="D36" s="46" t="s">
        <v>368</v>
      </c>
      <c r="E36" s="45">
        <v>3</v>
      </c>
      <c r="F36" s="35">
        <v>1</v>
      </c>
      <c r="G36" s="35">
        <f t="shared" si="17"/>
        <v>1</v>
      </c>
      <c r="H36" s="35">
        <v>1</v>
      </c>
      <c r="I36" s="35">
        <v>1</v>
      </c>
      <c r="J36" s="35">
        <v>1</v>
      </c>
      <c r="K36" s="35">
        <v>1</v>
      </c>
      <c r="L36" s="35">
        <v>1</v>
      </c>
      <c r="M36" s="35" t="s">
        <v>136</v>
      </c>
      <c r="N36">
        <f t="shared" si="18"/>
        <v>1500</v>
      </c>
      <c r="O36" s="35">
        <v>1</v>
      </c>
      <c r="P36" s="24">
        <f>ROUND(INDEX($C$2:$C$5,MATCH($E36,$B$2:$B$5,0))*$F36/SUMIFS($F:$F,$E:$E,$E36,$B:$B,$B36,O:O,1)*IF(B36=$B$10,0.9,1),0)</f>
        <v>250</v>
      </c>
      <c r="Q36" s="24">
        <f t="shared" ref="Q36:U36" si="132">IF($L36&lt;=Q$8,1,0)</f>
        <v>1</v>
      </c>
      <c r="R36" s="24">
        <f>ROUND(INDEX($C$2:$C$5,MATCH($E36,$B$2:$B$5,0))*$I36/SUMIFS($I:$I,$E:$E,$E36,$B:$B,$B36,Q:Q,1)*IF(B36=$B$10,0.9,1),0)</f>
        <v>300</v>
      </c>
      <c r="S36" s="24">
        <f t="shared" si="132"/>
        <v>1</v>
      </c>
      <c r="T36" s="24">
        <f>ROUND(INDEX($C$2:$C$5,MATCH($E36,$B$2:$B$5,0))*$J36/SUMIFS($J:$J,$E:$E,$E36,$B:$B,$B36,S:S,1)*IF(B36=$B$10,0.9,1),0)</f>
        <v>300</v>
      </c>
      <c r="U36" s="24">
        <f t="shared" si="132"/>
        <v>1</v>
      </c>
      <c r="V36" s="24">
        <f>ROUND(INDEX($C$2:$C$5,MATCH($E36,$B$2:$B$5,0))*$K36/SUMIFS($K:$K,$E:$E,$E36,$B:$B,$B36,U:U,1)*IF(B36=$B$10,0.9,1),0)</f>
        <v>300</v>
      </c>
      <c r="W36" s="24">
        <f t="shared" ref="W36:AA36" si="133">IF($L36&lt;=W$8,1,0)</f>
        <v>1</v>
      </c>
      <c r="X36" s="24">
        <f>ROUND(INDEX($C$2:$C$5,MATCH($E36,$B$2:$B$5,0))*$F36/SUMIFS($F:$F,$E:$E,$E36,$B:$B,$B36,W:W,1)*IF(B36=$B$10,0.9,1),0)</f>
        <v>250</v>
      </c>
      <c r="Y36" s="24">
        <f t="shared" si="133"/>
        <v>1</v>
      </c>
      <c r="Z36" s="24">
        <f>ROUND(INDEX($C$2:$C$5,MATCH($E36,$B$2:$B$5,0))*$G36/SUMIFS($G:$G,$E:$E,$E36,$B:$B,$B36,Y:Y,1)*IF(B36=$B$10,0.9,1),0)</f>
        <v>250</v>
      </c>
      <c r="AA36" s="24">
        <f t="shared" si="133"/>
        <v>1</v>
      </c>
      <c r="AB36" s="24">
        <f>ROUND(INDEX($C$2:$C$5,MATCH($E36,$B$2:$B$5,0))*$H36/SUMIFS($H:$H,$E:$E,$E36,$B:$B,$B36,AA:AA,1)*IF(B36=$B$10,0.9,1),0)</f>
        <v>250</v>
      </c>
      <c r="AC36" s="24">
        <f t="shared" ref="AC36:AG36" si="134">IF($L36&lt;=AC$8,1,0)</f>
        <v>1</v>
      </c>
      <c r="AD36" s="24">
        <f>ROUND(INDEX($C$2:$C$5,MATCH($E36,$B$2:$B$5,0))*$F36/SUMIFS($F:$F,$E:$E,$E36,$B:$B,$B36,AC:AC,1)*IF(B36=$B$10,0.9,1),0)</f>
        <v>250</v>
      </c>
      <c r="AE36" s="24">
        <f t="shared" si="134"/>
        <v>1</v>
      </c>
      <c r="AF36" s="24">
        <f>ROUND(INDEX($C$2:$C$5,MATCH($E36,$B$2:$B$5,0))*$G36/SUMIFS($G:$G,$E:$E,$E36,$B:$B,$B36,AE:AE,1)*IF(B36=$B$10,0.9,1),0)</f>
        <v>250</v>
      </c>
      <c r="AG36" s="24">
        <f t="shared" si="134"/>
        <v>1</v>
      </c>
      <c r="AH36" s="24">
        <f>ROUND(INDEX($C$2:$C$5,MATCH($E36,$B$2:$B$5,0))*$H36/SUMIFS($H:$H,$E:$E,$E36,$B:$B,$B36,AG:AG,1)*IF(B36=$B$10,0.9,1),0)</f>
        <v>250</v>
      </c>
      <c r="AI36" s="24">
        <f t="shared" ref="AI36:AM36" si="135">IF($L36&lt;=AI$8,1,0)</f>
        <v>1</v>
      </c>
      <c r="AJ36" s="24">
        <f>ROUND(INDEX($C$2:$C$5,MATCH($E36,$B$2:$B$5,0))*$F36/SUMIFS($F:$F,$E:$E,$E36,$B:$B,$B36,AI:AI,1)*IF(B36=$B$10,0.9,1),0)</f>
        <v>250</v>
      </c>
      <c r="AK36" s="24">
        <f t="shared" si="135"/>
        <v>1</v>
      </c>
      <c r="AL36" s="24">
        <f>ROUND(INDEX($C$2:$C$5,MATCH($E36,$B$2:$B$5,0))*$G36/SUMIFS($G:$G,$E:$E,$E36,$B:$B,$B36,AK:AK,1)*IF(B36=$B$10,0.9,1),0)</f>
        <v>250</v>
      </c>
      <c r="AM36" s="24">
        <f t="shared" si="135"/>
        <v>1</v>
      </c>
      <c r="AN36" s="24">
        <f>ROUND(INDEX($C$2:$C$5,MATCH($E36,$B$2:$B$5,0))*$H36/SUMIFS($H:$H,$E:$E,$E36,$B:$B,$B36,AM:AM,1)*IF(B36=$B$10,0.9,1),0)</f>
        <v>250</v>
      </c>
      <c r="AX36" s="4" t="str">
        <f t="shared" si="4"/>
        <v>1,250</v>
      </c>
      <c r="AY36" s="4" t="str">
        <f t="shared" si="5"/>
        <v>1,300</v>
      </c>
      <c r="AZ36" s="4" t="str">
        <f t="shared" si="6"/>
        <v>1,300</v>
      </c>
      <c r="BA36" s="4" t="str">
        <f t="shared" si="7"/>
        <v>1,300</v>
      </c>
      <c r="BB36" s="4" t="str">
        <f t="shared" si="8"/>
        <v>1,250</v>
      </c>
      <c r="BC36" s="4" t="str">
        <f t="shared" si="9"/>
        <v>1,250</v>
      </c>
      <c r="BD36" s="4" t="str">
        <f t="shared" si="10"/>
        <v>1,250</v>
      </c>
      <c r="BE36" s="4" t="str">
        <f t="shared" si="11"/>
        <v>1,250</v>
      </c>
      <c r="BF36" s="4" t="str">
        <f t="shared" si="12"/>
        <v>1,250</v>
      </c>
      <c r="BG36" s="4" t="str">
        <f t="shared" si="13"/>
        <v>1,250</v>
      </c>
      <c r="BH36" s="4" t="str">
        <f t="shared" si="14"/>
        <v>1,250</v>
      </c>
      <c r="BI36" s="4" t="str">
        <f t="shared" si="15"/>
        <v>1,250</v>
      </c>
      <c r="BJ36" s="4" t="str">
        <f t="shared" si="16"/>
        <v>1,250</v>
      </c>
    </row>
    <row r="37" customHeight="1" spans="1:62">
      <c r="A37" s="35">
        <v>224</v>
      </c>
      <c r="B37" s="40" t="s">
        <v>32</v>
      </c>
      <c r="C37" s="40"/>
      <c r="D37" s="46" t="s">
        <v>369</v>
      </c>
      <c r="E37" s="45">
        <v>3</v>
      </c>
      <c r="F37" s="35">
        <v>1</v>
      </c>
      <c r="G37" s="35">
        <f t="shared" si="17"/>
        <v>1</v>
      </c>
      <c r="H37" s="35">
        <v>1</v>
      </c>
      <c r="I37" s="35">
        <v>1</v>
      </c>
      <c r="J37" s="35">
        <v>1</v>
      </c>
      <c r="K37" s="35">
        <v>1</v>
      </c>
      <c r="L37" s="35">
        <v>1</v>
      </c>
      <c r="M37" s="35"/>
      <c r="N37">
        <f t="shared" si="18"/>
        <v>1500</v>
      </c>
      <c r="O37" s="35">
        <v>1</v>
      </c>
      <c r="P37" s="24">
        <f>ROUND(INDEX($C$2:$C$5,MATCH($E37,$B$2:$B$5,0))*$F37/SUMIFS($F:$F,$E:$E,$E37,$B:$B,$B37,O:O,1)*IF(B37=$B$10,0.9,1),0)</f>
        <v>250</v>
      </c>
      <c r="Q37" s="24">
        <f t="shared" ref="Q37:U37" si="136">IF($L37&lt;=Q$8,1,0)</f>
        <v>1</v>
      </c>
      <c r="R37" s="24">
        <f>ROUND(INDEX($C$2:$C$5,MATCH($E37,$B$2:$B$5,0))*$I37/SUMIFS($I:$I,$E:$E,$E37,$B:$B,$B37,Q:Q,1)*IF(B37=$B$10,0.9,1),0)</f>
        <v>300</v>
      </c>
      <c r="S37" s="24">
        <f t="shared" si="136"/>
        <v>1</v>
      </c>
      <c r="T37" s="24">
        <f>ROUND(INDEX($C$2:$C$5,MATCH($E37,$B$2:$B$5,0))*$J37/SUMIFS($J:$J,$E:$E,$E37,$B:$B,$B37,S:S,1)*IF(B37=$B$10,0.9,1),0)</f>
        <v>300</v>
      </c>
      <c r="U37" s="24">
        <f t="shared" si="136"/>
        <v>1</v>
      </c>
      <c r="V37" s="24">
        <f>ROUND(INDEX($C$2:$C$5,MATCH($E37,$B$2:$B$5,0))*$K37/SUMIFS($K:$K,$E:$E,$E37,$B:$B,$B37,U:U,1)*IF(B37=$B$10,0.9,1),0)</f>
        <v>300</v>
      </c>
      <c r="W37" s="24">
        <f t="shared" ref="W37:AA37" si="137">IF($L37&lt;=W$8,1,0)</f>
        <v>1</v>
      </c>
      <c r="X37" s="24">
        <f>ROUND(INDEX($C$2:$C$5,MATCH($E37,$B$2:$B$5,0))*$F37/SUMIFS($F:$F,$E:$E,$E37,$B:$B,$B37,W:W,1)*IF(B37=$B$10,0.9,1),0)</f>
        <v>250</v>
      </c>
      <c r="Y37" s="24">
        <f t="shared" si="137"/>
        <v>1</v>
      </c>
      <c r="Z37" s="24">
        <f>ROUND(INDEX($C$2:$C$5,MATCH($E37,$B$2:$B$5,0))*$G37/SUMIFS($G:$G,$E:$E,$E37,$B:$B,$B37,Y:Y,1)*IF(B37=$B$10,0.9,1),0)</f>
        <v>250</v>
      </c>
      <c r="AA37" s="24">
        <f t="shared" si="137"/>
        <v>1</v>
      </c>
      <c r="AB37" s="24">
        <f>ROUND(INDEX($C$2:$C$5,MATCH($E37,$B$2:$B$5,0))*$H37/SUMIFS($H:$H,$E:$E,$E37,$B:$B,$B37,AA:AA,1)*IF(B37=$B$10,0.9,1),0)</f>
        <v>250</v>
      </c>
      <c r="AC37" s="24">
        <f t="shared" ref="AC37:AG37" si="138">IF($L37&lt;=AC$8,1,0)</f>
        <v>1</v>
      </c>
      <c r="AD37" s="24">
        <f>ROUND(INDEX($C$2:$C$5,MATCH($E37,$B$2:$B$5,0))*$F37/SUMIFS($F:$F,$E:$E,$E37,$B:$B,$B37,AC:AC,1)*IF(B37=$B$10,0.9,1),0)</f>
        <v>250</v>
      </c>
      <c r="AE37" s="24">
        <f t="shared" si="138"/>
        <v>1</v>
      </c>
      <c r="AF37" s="24">
        <f>ROUND(INDEX($C$2:$C$5,MATCH($E37,$B$2:$B$5,0))*$G37/SUMIFS($G:$G,$E:$E,$E37,$B:$B,$B37,AE:AE,1)*IF(B37=$B$10,0.9,1),0)</f>
        <v>250</v>
      </c>
      <c r="AG37" s="24">
        <f t="shared" si="138"/>
        <v>1</v>
      </c>
      <c r="AH37" s="24">
        <f>ROUND(INDEX($C$2:$C$5,MATCH($E37,$B$2:$B$5,0))*$H37/SUMIFS($H:$H,$E:$E,$E37,$B:$B,$B37,AG:AG,1)*IF(B37=$B$10,0.9,1),0)</f>
        <v>250</v>
      </c>
      <c r="AI37" s="24">
        <f t="shared" ref="AI37:AM37" si="139">IF($L37&lt;=AI$8,1,0)</f>
        <v>1</v>
      </c>
      <c r="AJ37" s="24">
        <f>ROUND(INDEX($C$2:$C$5,MATCH($E37,$B$2:$B$5,0))*$F37/SUMIFS($F:$F,$E:$E,$E37,$B:$B,$B37,AI:AI,1)*IF(B37=$B$10,0.9,1),0)</f>
        <v>250</v>
      </c>
      <c r="AK37" s="24">
        <f t="shared" si="139"/>
        <v>1</v>
      </c>
      <c r="AL37" s="24">
        <f>ROUND(INDEX($C$2:$C$5,MATCH($E37,$B$2:$B$5,0))*$G37/SUMIFS($G:$G,$E:$E,$E37,$B:$B,$B37,AK:AK,1)*IF(B37=$B$10,0.9,1),0)</f>
        <v>250</v>
      </c>
      <c r="AM37" s="24">
        <f t="shared" si="139"/>
        <v>1</v>
      </c>
      <c r="AN37" s="24">
        <f>ROUND(INDEX($C$2:$C$5,MATCH($E37,$B$2:$B$5,0))*$H37/SUMIFS($H:$H,$E:$E,$E37,$B:$B,$B37,AM:AM,1)*IF(B37=$B$10,0.9,1),0)</f>
        <v>250</v>
      </c>
      <c r="AX37" s="4" t="str">
        <f t="shared" si="4"/>
        <v>1,250</v>
      </c>
      <c r="AY37" s="4" t="str">
        <f t="shared" si="5"/>
        <v>1,300</v>
      </c>
      <c r="AZ37" s="4" t="str">
        <f t="shared" si="6"/>
        <v>1,300</v>
      </c>
      <c r="BA37" s="4" t="str">
        <f t="shared" si="7"/>
        <v>1,300</v>
      </c>
      <c r="BB37" s="4" t="str">
        <f t="shared" si="8"/>
        <v>1,250</v>
      </c>
      <c r="BC37" s="4" t="str">
        <f t="shared" si="9"/>
        <v>1,250</v>
      </c>
      <c r="BD37" s="4" t="str">
        <f t="shared" si="10"/>
        <v>1,250</v>
      </c>
      <c r="BE37" s="4" t="str">
        <f t="shared" si="11"/>
        <v>1,250</v>
      </c>
      <c r="BF37" s="4" t="str">
        <f t="shared" si="12"/>
        <v>1,250</v>
      </c>
      <c r="BG37" s="4" t="str">
        <f t="shared" si="13"/>
        <v>1,250</v>
      </c>
      <c r="BH37" s="4" t="str">
        <f t="shared" si="14"/>
        <v>1,250</v>
      </c>
      <c r="BI37" s="4" t="str">
        <f t="shared" si="15"/>
        <v>1,250</v>
      </c>
      <c r="BJ37" s="4" t="str">
        <f t="shared" si="16"/>
        <v>1,250</v>
      </c>
    </row>
    <row r="38" customHeight="1" spans="1:62">
      <c r="A38" s="35">
        <v>231</v>
      </c>
      <c r="B38" s="40" t="s">
        <v>32</v>
      </c>
      <c r="C38" s="40"/>
      <c r="D38" s="44" t="s">
        <v>35</v>
      </c>
      <c r="E38" s="45">
        <v>2</v>
      </c>
      <c r="F38" s="35">
        <v>1</v>
      </c>
      <c r="G38" s="35">
        <f t="shared" si="17"/>
        <v>1</v>
      </c>
      <c r="H38" s="35">
        <v>1</v>
      </c>
      <c r="I38" s="35">
        <v>1</v>
      </c>
      <c r="J38" s="35">
        <v>1</v>
      </c>
      <c r="K38" s="35">
        <v>1</v>
      </c>
      <c r="L38" s="35">
        <v>2</v>
      </c>
      <c r="M38" s="35"/>
      <c r="N38">
        <f t="shared" si="18"/>
        <v>4500</v>
      </c>
      <c r="O38" s="35">
        <v>1</v>
      </c>
      <c r="P38" s="24">
        <f>ROUND(INDEX($C$2:$C$5,MATCH($E38,$B$2:$B$5,0))*$F38/SUMIFS($F:$F,$E:$E,$E38,$B:$B,$B38,O:O,1)*IF(B38=$B$10,0.9,1),0)</f>
        <v>1125</v>
      </c>
      <c r="Q38" s="24">
        <f t="shared" ref="Q38:U38" si="140">IF($L38&lt;=Q$8,1,0)</f>
        <v>0</v>
      </c>
      <c r="R38" s="24">
        <f>ROUND(INDEX($C$2:$C$5,MATCH($E38,$B$2:$B$5,0))*$I38/SUMIFS($I:$I,$E:$E,$E38,$B:$B,$B38,Q:Q,1)*IF(B38=$B$10,0.9,1),0)</f>
        <v>1500</v>
      </c>
      <c r="S38" s="24">
        <f t="shared" si="140"/>
        <v>0</v>
      </c>
      <c r="T38" s="24">
        <f>ROUND(INDEX($C$2:$C$5,MATCH($E38,$B$2:$B$5,0))*$J38/SUMIFS($J:$J,$E:$E,$E38,$B:$B,$B38,S:S,1)*IF(B38=$B$10,0.9,1),0)</f>
        <v>1500</v>
      </c>
      <c r="U38" s="24">
        <f t="shared" si="140"/>
        <v>0</v>
      </c>
      <c r="V38" s="24">
        <f>ROUND(INDEX($C$2:$C$5,MATCH($E38,$B$2:$B$5,0))*$K38/SUMIFS($K:$K,$E:$E,$E38,$B:$B,$B38,U:U,1)*IF(B38=$B$10,0.9,1),0)</f>
        <v>1500</v>
      </c>
      <c r="W38" s="24">
        <f t="shared" ref="W38:AA38" si="141">IF($L38&lt;=W$8,1,0)</f>
        <v>1</v>
      </c>
      <c r="X38" s="24">
        <f>ROUND(INDEX($C$2:$C$5,MATCH($E38,$B$2:$B$5,0))*$F38/SUMIFS($F:$F,$E:$E,$E38,$B:$B,$B38,W:W,1)*IF(B38=$B$10,0.9,1),0)</f>
        <v>1125</v>
      </c>
      <c r="Y38" s="24">
        <f t="shared" si="141"/>
        <v>1</v>
      </c>
      <c r="Z38" s="24">
        <f>ROUND(INDEX($C$2:$C$5,MATCH($E38,$B$2:$B$5,0))*$G38/SUMIFS($G:$G,$E:$E,$E38,$B:$B,$B38,Y:Y,1)*IF(B38=$B$10,0.9,1),0)</f>
        <v>1125</v>
      </c>
      <c r="AA38" s="24">
        <f t="shared" si="141"/>
        <v>1</v>
      </c>
      <c r="AB38" s="24">
        <f>ROUND(INDEX($C$2:$C$5,MATCH($E38,$B$2:$B$5,0))*$H38/SUMIFS($H:$H,$E:$E,$E38,$B:$B,$B38,AA:AA,1)*IF(B38=$B$10,0.9,1),0)</f>
        <v>1125</v>
      </c>
      <c r="AC38" s="24">
        <f t="shared" ref="AC38:AG38" si="142">IF($L38&lt;=AC$8,1,0)</f>
        <v>1</v>
      </c>
      <c r="AD38" s="24">
        <f>ROUND(INDEX($C$2:$C$5,MATCH($E38,$B$2:$B$5,0))*$F38/SUMIFS($F:$F,$E:$E,$E38,$B:$B,$B38,AC:AC,1)*IF(B38=$B$10,0.9,1),0)</f>
        <v>1125</v>
      </c>
      <c r="AE38" s="24">
        <f t="shared" si="142"/>
        <v>1</v>
      </c>
      <c r="AF38" s="24">
        <f>ROUND(INDEX($C$2:$C$5,MATCH($E38,$B$2:$B$5,0))*$G38/SUMIFS($G:$G,$E:$E,$E38,$B:$B,$B38,AE:AE,1)*IF(B38=$B$10,0.9,1),0)</f>
        <v>1125</v>
      </c>
      <c r="AG38" s="24">
        <f t="shared" si="142"/>
        <v>1</v>
      </c>
      <c r="AH38" s="24">
        <f>ROUND(INDEX($C$2:$C$5,MATCH($E38,$B$2:$B$5,0))*$H38/SUMIFS($H:$H,$E:$E,$E38,$B:$B,$B38,AG:AG,1)*IF(B38=$B$10,0.9,1),0)</f>
        <v>1125</v>
      </c>
      <c r="AI38" s="24">
        <f t="shared" ref="AI38:AM38" si="143">IF($L38&lt;=AI$8,1,0)</f>
        <v>1</v>
      </c>
      <c r="AJ38" s="24">
        <f>ROUND(INDEX($C$2:$C$5,MATCH($E38,$B$2:$B$5,0))*$F38/SUMIFS($F:$F,$E:$E,$E38,$B:$B,$B38,AI:AI,1)*IF(B38=$B$10,0.9,1),0)</f>
        <v>1125</v>
      </c>
      <c r="AK38" s="24">
        <f t="shared" si="143"/>
        <v>1</v>
      </c>
      <c r="AL38" s="24">
        <f>ROUND(INDEX($C$2:$C$5,MATCH($E38,$B$2:$B$5,0))*$G38/SUMIFS($G:$G,$E:$E,$E38,$B:$B,$B38,AK:AK,1)*IF(B38=$B$10,0.9,1),0)</f>
        <v>1125</v>
      </c>
      <c r="AM38" s="24">
        <f t="shared" si="143"/>
        <v>1</v>
      </c>
      <c r="AN38" s="24">
        <f>ROUND(INDEX($C$2:$C$5,MATCH($E38,$B$2:$B$5,0))*$H38/SUMIFS($H:$H,$E:$E,$E38,$B:$B,$B38,AM:AM,1)*IF(B38=$B$10,0.9,1),0)</f>
        <v>1125</v>
      </c>
      <c r="AX38" s="4" t="str">
        <f t="shared" si="4"/>
        <v>1,1125</v>
      </c>
      <c r="AY38" s="4" t="str">
        <f t="shared" si="5"/>
        <v>0,1500</v>
      </c>
      <c r="AZ38" s="4" t="str">
        <f t="shared" si="6"/>
        <v>0,1500</v>
      </c>
      <c r="BA38" s="4" t="str">
        <f t="shared" si="7"/>
        <v>0,1500</v>
      </c>
      <c r="BB38" s="4" t="str">
        <f t="shared" si="8"/>
        <v>1,1125</v>
      </c>
      <c r="BC38" s="4" t="str">
        <f t="shared" si="9"/>
        <v>1,1125</v>
      </c>
      <c r="BD38" s="4" t="str">
        <f t="shared" si="10"/>
        <v>1,1125</v>
      </c>
      <c r="BE38" s="4" t="str">
        <f t="shared" si="11"/>
        <v>1,1125</v>
      </c>
      <c r="BF38" s="4" t="str">
        <f t="shared" si="12"/>
        <v>1,1125</v>
      </c>
      <c r="BG38" s="4" t="str">
        <f t="shared" si="13"/>
        <v>1,1125</v>
      </c>
      <c r="BH38" s="4" t="str">
        <f t="shared" si="14"/>
        <v>1,1125</v>
      </c>
      <c r="BI38" s="4" t="str">
        <f t="shared" si="15"/>
        <v>1,1125</v>
      </c>
      <c r="BJ38" s="4" t="str">
        <f t="shared" si="16"/>
        <v>1,1125</v>
      </c>
    </row>
    <row r="39" customHeight="1" spans="1:62">
      <c r="A39" s="35">
        <v>232</v>
      </c>
      <c r="B39" s="40" t="s">
        <v>32</v>
      </c>
      <c r="C39" s="40" t="s">
        <v>218</v>
      </c>
      <c r="D39" s="44" t="s">
        <v>372</v>
      </c>
      <c r="E39" s="43">
        <v>2</v>
      </c>
      <c r="F39" s="35">
        <v>1</v>
      </c>
      <c r="G39" s="35">
        <f t="shared" si="17"/>
        <v>1</v>
      </c>
      <c r="H39" s="35">
        <v>1</v>
      </c>
      <c r="I39" s="35">
        <v>1</v>
      </c>
      <c r="J39" s="35">
        <v>1</v>
      </c>
      <c r="K39" s="35">
        <v>1</v>
      </c>
      <c r="L39" s="35">
        <v>1</v>
      </c>
      <c r="M39" s="35" t="s">
        <v>136</v>
      </c>
      <c r="N39">
        <f t="shared" si="18"/>
        <v>4500</v>
      </c>
      <c r="O39" s="35">
        <v>1</v>
      </c>
      <c r="P39" s="24">
        <f>ROUND(INDEX($C$2:$C$5,MATCH($E39,$B$2:$B$5,0))*$F39/SUMIFS($F:$F,$E:$E,$E39,$B:$B,$B39,O:O,1)*IF(B39=$B$10,0.9,1),0)</f>
        <v>1125</v>
      </c>
      <c r="Q39" s="24">
        <f t="shared" ref="Q39:U39" si="144">IF($L39&lt;=Q$8,1,0)</f>
        <v>1</v>
      </c>
      <c r="R39" s="24">
        <f>ROUND(INDEX($C$2:$C$5,MATCH($E39,$B$2:$B$5,0))*$I39/SUMIFS($I:$I,$E:$E,$E39,$B:$B,$B39,Q:Q,1)*IF(B39=$B$10,0.9,1),0)</f>
        <v>1500</v>
      </c>
      <c r="S39" s="24">
        <f t="shared" si="144"/>
        <v>1</v>
      </c>
      <c r="T39" s="24">
        <f>ROUND(INDEX($C$2:$C$5,MATCH($E39,$B$2:$B$5,0))*$J39/SUMIFS($J:$J,$E:$E,$E39,$B:$B,$B39,S:S,1)*IF(B39=$B$10,0.9,1),0)</f>
        <v>1500</v>
      </c>
      <c r="U39" s="24">
        <f t="shared" si="144"/>
        <v>1</v>
      </c>
      <c r="V39" s="24">
        <f>ROUND(INDEX($C$2:$C$5,MATCH($E39,$B$2:$B$5,0))*$K39/SUMIFS($K:$K,$E:$E,$E39,$B:$B,$B39,U:U,1)*IF(B39=$B$10,0.9,1),0)</f>
        <v>1500</v>
      </c>
      <c r="W39" s="24">
        <f t="shared" ref="W39:AA39" si="145">IF($L39&lt;=W$8,1,0)</f>
        <v>1</v>
      </c>
      <c r="X39" s="24">
        <f>ROUND(INDEX($C$2:$C$5,MATCH($E39,$B$2:$B$5,0))*$F39/SUMIFS($F:$F,$E:$E,$E39,$B:$B,$B39,W:W,1)*IF(B39=$B$10,0.9,1),0)</f>
        <v>1125</v>
      </c>
      <c r="Y39" s="24">
        <f t="shared" si="145"/>
        <v>1</v>
      </c>
      <c r="Z39" s="24">
        <f>ROUND(INDEX($C$2:$C$5,MATCH($E39,$B$2:$B$5,0))*$G39/SUMIFS($G:$G,$E:$E,$E39,$B:$B,$B39,Y:Y,1)*IF(B39=$B$10,0.9,1),0)</f>
        <v>1125</v>
      </c>
      <c r="AA39" s="24">
        <f t="shared" si="145"/>
        <v>1</v>
      </c>
      <c r="AB39" s="24">
        <f>ROUND(INDEX($C$2:$C$5,MATCH($E39,$B$2:$B$5,0))*$H39/SUMIFS($H:$H,$E:$E,$E39,$B:$B,$B39,AA:AA,1)*IF(B39=$B$10,0.9,1),0)</f>
        <v>1125</v>
      </c>
      <c r="AC39" s="24">
        <f t="shared" ref="AC39:AG39" si="146">IF($L39&lt;=AC$8,1,0)</f>
        <v>1</v>
      </c>
      <c r="AD39" s="24">
        <f>ROUND(INDEX($C$2:$C$5,MATCH($E39,$B$2:$B$5,0))*$F39/SUMIFS($F:$F,$E:$E,$E39,$B:$B,$B39,AC:AC,1)*IF(B39=$B$10,0.9,1),0)</f>
        <v>1125</v>
      </c>
      <c r="AE39" s="24">
        <f t="shared" si="146"/>
        <v>1</v>
      </c>
      <c r="AF39" s="24">
        <f>ROUND(INDEX($C$2:$C$5,MATCH($E39,$B$2:$B$5,0))*$G39/SUMIFS($G:$G,$E:$E,$E39,$B:$B,$B39,AE:AE,1)*IF(B39=$B$10,0.9,1),0)</f>
        <v>1125</v>
      </c>
      <c r="AG39" s="24">
        <f t="shared" si="146"/>
        <v>1</v>
      </c>
      <c r="AH39" s="24">
        <f>ROUND(INDEX($C$2:$C$5,MATCH($E39,$B$2:$B$5,0))*$H39/SUMIFS($H:$H,$E:$E,$E39,$B:$B,$B39,AG:AG,1)*IF(B39=$B$10,0.9,1),0)</f>
        <v>1125</v>
      </c>
      <c r="AI39" s="24">
        <f t="shared" ref="AI39:AM39" si="147">IF($L39&lt;=AI$8,1,0)</f>
        <v>1</v>
      </c>
      <c r="AJ39" s="24">
        <f>ROUND(INDEX($C$2:$C$5,MATCH($E39,$B$2:$B$5,0))*$F39/SUMIFS($F:$F,$E:$E,$E39,$B:$B,$B39,AI:AI,1)*IF(B39=$B$10,0.9,1),0)</f>
        <v>1125</v>
      </c>
      <c r="AK39" s="24">
        <f t="shared" si="147"/>
        <v>1</v>
      </c>
      <c r="AL39" s="24">
        <f>ROUND(INDEX($C$2:$C$5,MATCH($E39,$B$2:$B$5,0))*$G39/SUMIFS($G:$G,$E:$E,$E39,$B:$B,$B39,AK:AK,1)*IF(B39=$B$10,0.9,1),0)</f>
        <v>1125</v>
      </c>
      <c r="AM39" s="24">
        <f t="shared" si="147"/>
        <v>1</v>
      </c>
      <c r="AN39" s="24">
        <f>ROUND(INDEX($C$2:$C$5,MATCH($E39,$B$2:$B$5,0))*$H39/SUMIFS($H:$H,$E:$E,$E39,$B:$B,$B39,AM:AM,1)*IF(B39=$B$10,0.9,1),0)</f>
        <v>1125</v>
      </c>
      <c r="AX39" s="4" t="str">
        <f t="shared" si="4"/>
        <v>1,1125</v>
      </c>
      <c r="AY39" s="4" t="str">
        <f t="shared" si="5"/>
        <v>1,1500</v>
      </c>
      <c r="AZ39" s="4" t="str">
        <f t="shared" si="6"/>
        <v>1,1500</v>
      </c>
      <c r="BA39" s="4" t="str">
        <f t="shared" si="7"/>
        <v>1,1500</v>
      </c>
      <c r="BB39" s="4" t="str">
        <f t="shared" si="8"/>
        <v>1,1125</v>
      </c>
      <c r="BC39" s="4" t="str">
        <f t="shared" si="9"/>
        <v>1,1125</v>
      </c>
      <c r="BD39" s="4" t="str">
        <f t="shared" si="10"/>
        <v>1,1125</v>
      </c>
      <c r="BE39" s="4" t="str">
        <f t="shared" si="11"/>
        <v>1,1125</v>
      </c>
      <c r="BF39" s="4" t="str">
        <f t="shared" si="12"/>
        <v>1,1125</v>
      </c>
      <c r="BG39" s="4" t="str">
        <f t="shared" si="13"/>
        <v>1,1125</v>
      </c>
      <c r="BH39" s="4" t="str">
        <f t="shared" si="14"/>
        <v>1,1125</v>
      </c>
      <c r="BI39" s="4" t="str">
        <f t="shared" si="15"/>
        <v>1,1125</v>
      </c>
      <c r="BJ39" s="4" t="str">
        <f t="shared" si="16"/>
        <v>1,1125</v>
      </c>
    </row>
    <row r="40" customHeight="1" spans="1:62">
      <c r="A40" s="35">
        <v>241</v>
      </c>
      <c r="B40" s="40" t="s">
        <v>32</v>
      </c>
      <c r="C40" s="40" t="s">
        <v>218</v>
      </c>
      <c r="D40" s="46" t="s">
        <v>37</v>
      </c>
      <c r="E40" s="45">
        <v>3</v>
      </c>
      <c r="F40" s="35">
        <v>1</v>
      </c>
      <c r="G40" s="35">
        <f t="shared" si="17"/>
        <v>1</v>
      </c>
      <c r="H40" s="35">
        <v>1</v>
      </c>
      <c r="I40" s="35">
        <v>1</v>
      </c>
      <c r="J40" s="35">
        <v>1</v>
      </c>
      <c r="K40" s="35">
        <v>1</v>
      </c>
      <c r="L40" s="35">
        <v>2</v>
      </c>
      <c r="M40" s="35" t="s">
        <v>136</v>
      </c>
      <c r="N40">
        <f t="shared" si="18"/>
        <v>1500</v>
      </c>
      <c r="O40" s="35">
        <v>1</v>
      </c>
      <c r="P40" s="24">
        <f>ROUND(INDEX($C$2:$C$5,MATCH($E40,$B$2:$B$5,0))*$F40/SUMIFS($F:$F,$E:$E,$E40,$B:$B,$B40,O:O,1)*IF(B40=$B$10,0.9,1),0)</f>
        <v>250</v>
      </c>
      <c r="Q40" s="24">
        <f t="shared" ref="Q40:U40" si="148">IF($L40&lt;=Q$8,1,0)</f>
        <v>0</v>
      </c>
      <c r="R40" s="24">
        <f>ROUND(INDEX($C$2:$C$5,MATCH($E40,$B$2:$B$5,0))*$I40/SUMIFS($I:$I,$E:$E,$E40,$B:$B,$B40,Q:Q,1)*IF(B40=$B$10,0.9,1),0)</f>
        <v>300</v>
      </c>
      <c r="S40" s="24">
        <f t="shared" si="148"/>
        <v>0</v>
      </c>
      <c r="T40" s="24">
        <f>ROUND(INDEX($C$2:$C$5,MATCH($E40,$B$2:$B$5,0))*$J40/SUMIFS($J:$J,$E:$E,$E40,$B:$B,$B40,S:S,1)*IF(B40=$B$10,0.9,1),0)</f>
        <v>300</v>
      </c>
      <c r="U40" s="24">
        <f t="shared" si="148"/>
        <v>0</v>
      </c>
      <c r="V40" s="24">
        <f>ROUND(INDEX($C$2:$C$5,MATCH($E40,$B$2:$B$5,0))*$K40/SUMIFS($K:$K,$E:$E,$E40,$B:$B,$B40,U:U,1)*IF(B40=$B$10,0.9,1),0)</f>
        <v>300</v>
      </c>
      <c r="W40" s="24">
        <f t="shared" ref="W40:AA40" si="149">IF($L40&lt;=W$8,1,0)</f>
        <v>1</v>
      </c>
      <c r="X40" s="24">
        <f>ROUND(INDEX($C$2:$C$5,MATCH($E40,$B$2:$B$5,0))*$F40/SUMIFS($F:$F,$E:$E,$E40,$B:$B,$B40,W:W,1)*IF(B40=$B$10,0.9,1),0)</f>
        <v>250</v>
      </c>
      <c r="Y40" s="24">
        <f t="shared" si="149"/>
        <v>1</v>
      </c>
      <c r="Z40" s="24">
        <f>ROUND(INDEX($C$2:$C$5,MATCH($E40,$B$2:$B$5,0))*$G40/SUMIFS($G:$G,$E:$E,$E40,$B:$B,$B40,Y:Y,1)*IF(B40=$B$10,0.9,1),0)</f>
        <v>250</v>
      </c>
      <c r="AA40" s="24">
        <f t="shared" si="149"/>
        <v>1</v>
      </c>
      <c r="AB40" s="24">
        <f>ROUND(INDEX($C$2:$C$5,MATCH($E40,$B$2:$B$5,0))*$H40/SUMIFS($H:$H,$E:$E,$E40,$B:$B,$B40,AA:AA,1)*IF(B40=$B$10,0.9,1),0)</f>
        <v>250</v>
      </c>
      <c r="AC40" s="24">
        <f t="shared" ref="AC40:AG40" si="150">IF($L40&lt;=AC$8,1,0)</f>
        <v>1</v>
      </c>
      <c r="AD40" s="24">
        <f>ROUND(INDEX($C$2:$C$5,MATCH($E40,$B$2:$B$5,0))*$F40/SUMIFS($F:$F,$E:$E,$E40,$B:$B,$B40,AC:AC,1)*IF(B40=$B$10,0.9,1),0)</f>
        <v>250</v>
      </c>
      <c r="AE40" s="24">
        <f t="shared" si="150"/>
        <v>1</v>
      </c>
      <c r="AF40" s="24">
        <f>ROUND(INDEX($C$2:$C$5,MATCH($E40,$B$2:$B$5,0))*$G40/SUMIFS($G:$G,$E:$E,$E40,$B:$B,$B40,AE:AE,1)*IF(B40=$B$10,0.9,1),0)</f>
        <v>250</v>
      </c>
      <c r="AG40" s="24">
        <f t="shared" si="150"/>
        <v>1</v>
      </c>
      <c r="AH40" s="24">
        <f>ROUND(INDEX($C$2:$C$5,MATCH($E40,$B$2:$B$5,0))*$H40/SUMIFS($H:$H,$E:$E,$E40,$B:$B,$B40,AG:AG,1)*IF(B40=$B$10,0.9,1),0)</f>
        <v>250</v>
      </c>
      <c r="AI40" s="24">
        <f t="shared" ref="AI40:AM40" si="151">IF($L40&lt;=AI$8,1,0)</f>
        <v>1</v>
      </c>
      <c r="AJ40" s="24">
        <f>ROUND(INDEX($C$2:$C$5,MATCH($E40,$B$2:$B$5,0))*$F40/SUMIFS($F:$F,$E:$E,$E40,$B:$B,$B40,AI:AI,1)*IF(B40=$B$10,0.9,1),0)</f>
        <v>250</v>
      </c>
      <c r="AK40" s="24">
        <f t="shared" si="151"/>
        <v>1</v>
      </c>
      <c r="AL40" s="24">
        <f>ROUND(INDEX($C$2:$C$5,MATCH($E40,$B$2:$B$5,0))*$G40/SUMIFS($G:$G,$E:$E,$E40,$B:$B,$B40,AK:AK,1)*IF(B40=$B$10,0.9,1),0)</f>
        <v>250</v>
      </c>
      <c r="AM40" s="24">
        <f t="shared" si="151"/>
        <v>1</v>
      </c>
      <c r="AN40" s="24">
        <f>ROUND(INDEX($C$2:$C$5,MATCH($E40,$B$2:$B$5,0))*$H40/SUMIFS($H:$H,$E:$E,$E40,$B:$B,$B40,AM:AM,1)*IF(B40=$B$10,0.9,1),0)</f>
        <v>250</v>
      </c>
      <c r="AX40" s="4" t="str">
        <f t="shared" si="4"/>
        <v>1,250</v>
      </c>
      <c r="AY40" s="4" t="str">
        <f t="shared" si="5"/>
        <v>0,300</v>
      </c>
      <c r="AZ40" s="4" t="str">
        <f t="shared" si="6"/>
        <v>0,300</v>
      </c>
      <c r="BA40" s="4" t="str">
        <f t="shared" si="7"/>
        <v>0,300</v>
      </c>
      <c r="BB40" s="4" t="str">
        <f t="shared" si="8"/>
        <v>1,250</v>
      </c>
      <c r="BC40" s="4" t="str">
        <f t="shared" si="9"/>
        <v>1,250</v>
      </c>
      <c r="BD40" s="4" t="str">
        <f t="shared" si="10"/>
        <v>1,250</v>
      </c>
      <c r="BE40" s="4" t="str">
        <f t="shared" si="11"/>
        <v>1,250</v>
      </c>
      <c r="BF40" s="4" t="str">
        <f t="shared" si="12"/>
        <v>1,250</v>
      </c>
      <c r="BG40" s="4" t="str">
        <f t="shared" si="13"/>
        <v>1,250</v>
      </c>
      <c r="BH40" s="4" t="str">
        <f t="shared" si="14"/>
        <v>1,250</v>
      </c>
      <c r="BI40" s="4" t="str">
        <f t="shared" si="15"/>
        <v>1,250</v>
      </c>
      <c r="BJ40" s="4" t="str">
        <f t="shared" si="16"/>
        <v>1,250</v>
      </c>
    </row>
    <row r="41" customHeight="1" spans="1:62">
      <c r="A41" s="35">
        <v>242</v>
      </c>
      <c r="B41" s="40" t="s">
        <v>32</v>
      </c>
      <c r="C41" s="40" t="s">
        <v>218</v>
      </c>
      <c r="D41" s="46" t="s">
        <v>373</v>
      </c>
      <c r="E41" s="45">
        <v>3</v>
      </c>
      <c r="F41" s="35">
        <v>1</v>
      </c>
      <c r="G41" s="35">
        <f t="shared" si="17"/>
        <v>1</v>
      </c>
      <c r="H41" s="35">
        <v>1</v>
      </c>
      <c r="I41" s="35">
        <v>1</v>
      </c>
      <c r="J41" s="35">
        <v>1</v>
      </c>
      <c r="K41" s="35">
        <v>1</v>
      </c>
      <c r="L41" s="35">
        <v>1</v>
      </c>
      <c r="M41" s="35"/>
      <c r="N41">
        <f t="shared" si="18"/>
        <v>1500</v>
      </c>
      <c r="O41" s="35">
        <v>1</v>
      </c>
      <c r="P41" s="24">
        <f>ROUND(INDEX($C$2:$C$5,MATCH($E41,$B$2:$B$5,0))*$F41/SUMIFS($F:$F,$E:$E,$E41,$B:$B,$B41,O:O,1)*IF(B41=$B$10,0.9,1),0)</f>
        <v>250</v>
      </c>
      <c r="Q41" s="24">
        <f t="shared" ref="Q41:U41" si="152">IF($L41&lt;=Q$8,1,0)</f>
        <v>1</v>
      </c>
      <c r="R41" s="24">
        <f>ROUND(INDEX($C$2:$C$5,MATCH($E41,$B$2:$B$5,0))*$I41/SUMIFS($I:$I,$E:$E,$E41,$B:$B,$B41,Q:Q,1)*IF(B41=$B$10,0.9,1),0)</f>
        <v>300</v>
      </c>
      <c r="S41" s="24">
        <f t="shared" si="152"/>
        <v>1</v>
      </c>
      <c r="T41" s="24">
        <f>ROUND(INDEX($C$2:$C$5,MATCH($E41,$B$2:$B$5,0))*$J41/SUMIFS($J:$J,$E:$E,$E41,$B:$B,$B41,S:S,1)*IF(B41=$B$10,0.9,1),0)</f>
        <v>300</v>
      </c>
      <c r="U41" s="24">
        <f t="shared" si="152"/>
        <v>1</v>
      </c>
      <c r="V41" s="24">
        <f>ROUND(INDEX($C$2:$C$5,MATCH($E41,$B$2:$B$5,0))*$K41/SUMIFS($K:$K,$E:$E,$E41,$B:$B,$B41,U:U,1)*IF(B41=$B$10,0.9,1),0)</f>
        <v>300</v>
      </c>
      <c r="W41" s="24">
        <f t="shared" ref="W41:AA41" si="153">IF($L41&lt;=W$8,1,0)</f>
        <v>1</v>
      </c>
      <c r="X41" s="24">
        <f>ROUND(INDEX($C$2:$C$5,MATCH($E41,$B$2:$B$5,0))*$F41/SUMIFS($F:$F,$E:$E,$E41,$B:$B,$B41,W:W,1)*IF(B41=$B$10,0.9,1),0)</f>
        <v>250</v>
      </c>
      <c r="Y41" s="24">
        <f t="shared" si="153"/>
        <v>1</v>
      </c>
      <c r="Z41" s="24">
        <f>ROUND(INDEX($C$2:$C$5,MATCH($E41,$B$2:$B$5,0))*$G41/SUMIFS($G:$G,$E:$E,$E41,$B:$B,$B41,Y:Y,1)*IF(B41=$B$10,0.9,1),0)</f>
        <v>250</v>
      </c>
      <c r="AA41" s="24">
        <f t="shared" si="153"/>
        <v>1</v>
      </c>
      <c r="AB41" s="24">
        <f>ROUND(INDEX($C$2:$C$5,MATCH($E41,$B$2:$B$5,0))*$H41/SUMIFS($H:$H,$E:$E,$E41,$B:$B,$B41,AA:AA,1)*IF(B41=$B$10,0.9,1),0)</f>
        <v>250</v>
      </c>
      <c r="AC41" s="24">
        <f t="shared" ref="AC41:AG41" si="154">IF($L41&lt;=AC$8,1,0)</f>
        <v>1</v>
      </c>
      <c r="AD41" s="24">
        <f>ROUND(INDEX($C$2:$C$5,MATCH($E41,$B$2:$B$5,0))*$F41/SUMIFS($F:$F,$E:$E,$E41,$B:$B,$B41,AC:AC,1)*IF(B41=$B$10,0.9,1),0)</f>
        <v>250</v>
      </c>
      <c r="AE41" s="24">
        <f t="shared" si="154"/>
        <v>1</v>
      </c>
      <c r="AF41" s="24">
        <f>ROUND(INDEX($C$2:$C$5,MATCH($E41,$B$2:$B$5,0))*$G41/SUMIFS($G:$G,$E:$E,$E41,$B:$B,$B41,AE:AE,1)*IF(B41=$B$10,0.9,1),0)</f>
        <v>250</v>
      </c>
      <c r="AG41" s="24">
        <f t="shared" si="154"/>
        <v>1</v>
      </c>
      <c r="AH41" s="24">
        <f>ROUND(INDEX($C$2:$C$5,MATCH($E41,$B$2:$B$5,0))*$H41/SUMIFS($H:$H,$E:$E,$E41,$B:$B,$B41,AG:AG,1)*IF(B41=$B$10,0.9,1),0)</f>
        <v>250</v>
      </c>
      <c r="AI41" s="24">
        <f t="shared" ref="AI41:AM41" si="155">IF($L41&lt;=AI$8,1,0)</f>
        <v>1</v>
      </c>
      <c r="AJ41" s="24">
        <f>ROUND(INDEX($C$2:$C$5,MATCH($E41,$B$2:$B$5,0))*$F41/SUMIFS($F:$F,$E:$E,$E41,$B:$B,$B41,AI:AI,1)*IF(B41=$B$10,0.9,1),0)</f>
        <v>250</v>
      </c>
      <c r="AK41" s="24">
        <f t="shared" si="155"/>
        <v>1</v>
      </c>
      <c r="AL41" s="24">
        <f>ROUND(INDEX($C$2:$C$5,MATCH($E41,$B$2:$B$5,0))*$G41/SUMIFS($G:$G,$E:$E,$E41,$B:$B,$B41,AK:AK,1)*IF(B41=$B$10,0.9,1),0)</f>
        <v>250</v>
      </c>
      <c r="AM41" s="24">
        <f t="shared" si="155"/>
        <v>1</v>
      </c>
      <c r="AN41" s="24">
        <f>ROUND(INDEX($C$2:$C$5,MATCH($E41,$B$2:$B$5,0))*$H41/SUMIFS($H:$H,$E:$E,$E41,$B:$B,$B41,AM:AM,1)*IF(B41=$B$10,0.9,1),0)</f>
        <v>250</v>
      </c>
      <c r="AX41" s="4" t="str">
        <f t="shared" si="4"/>
        <v>1,250</v>
      </c>
      <c r="AY41" s="4" t="str">
        <f t="shared" si="5"/>
        <v>1,300</v>
      </c>
      <c r="AZ41" s="4" t="str">
        <f t="shared" si="6"/>
        <v>1,300</v>
      </c>
      <c r="BA41" s="4" t="str">
        <f t="shared" si="7"/>
        <v>1,300</v>
      </c>
      <c r="BB41" s="4" t="str">
        <f t="shared" si="8"/>
        <v>1,250</v>
      </c>
      <c r="BC41" s="4" t="str">
        <f t="shared" si="9"/>
        <v>1,250</v>
      </c>
      <c r="BD41" s="4" t="str">
        <f t="shared" si="10"/>
        <v>1,250</v>
      </c>
      <c r="BE41" s="4" t="str">
        <f t="shared" si="11"/>
        <v>1,250</v>
      </c>
      <c r="BF41" s="4" t="str">
        <f t="shared" si="12"/>
        <v>1,250</v>
      </c>
      <c r="BG41" s="4" t="str">
        <f t="shared" si="13"/>
        <v>1,250</v>
      </c>
      <c r="BH41" s="4" t="str">
        <f t="shared" si="14"/>
        <v>1,250</v>
      </c>
      <c r="BI41" s="4" t="str">
        <f t="shared" si="15"/>
        <v>1,250</v>
      </c>
      <c r="BJ41" s="4" t="str">
        <f t="shared" si="16"/>
        <v>1,250</v>
      </c>
    </row>
    <row r="42" customHeight="1" spans="1:62">
      <c r="A42" s="35">
        <v>251</v>
      </c>
      <c r="B42" s="40" t="s">
        <v>32</v>
      </c>
      <c r="C42" s="40" t="s">
        <v>218</v>
      </c>
      <c r="D42" s="47" t="s">
        <v>39</v>
      </c>
      <c r="E42" s="45">
        <v>4</v>
      </c>
      <c r="F42" s="35">
        <v>1</v>
      </c>
      <c r="G42" s="35">
        <f t="shared" si="17"/>
        <v>1</v>
      </c>
      <c r="H42" s="35">
        <v>1</v>
      </c>
      <c r="I42" s="35">
        <v>1</v>
      </c>
      <c r="J42" s="35">
        <v>1</v>
      </c>
      <c r="K42" s="35">
        <v>1</v>
      </c>
      <c r="L42" s="35">
        <v>3</v>
      </c>
      <c r="M42" s="35" t="s">
        <v>136</v>
      </c>
      <c r="N42">
        <f t="shared" si="18"/>
        <v>500</v>
      </c>
      <c r="O42" s="35">
        <v>1</v>
      </c>
      <c r="P42" s="24">
        <f>ROUND(INDEX($C$2:$C$5,MATCH($E42,$B$2:$B$5,0))*$F42/SUMIFS($F:$F,$E:$E,$E42,$B:$B,$B42,O:O,1)*IF(B42=$B$10,0.9,1),0)</f>
        <v>250</v>
      </c>
      <c r="Q42" s="24">
        <f t="shared" ref="Q42:U42" si="156">IF($L42&lt;=Q$8,1,0)</f>
        <v>0</v>
      </c>
      <c r="R42" s="24">
        <f>ROUND(INDEX($C$2:$C$5,MATCH($E42,$B$2:$B$5,0))*$I42/SUMIFS($I:$I,$E:$E,$E42,$B:$B,$B42,Q:Q,1)*IF(B42=$B$10,0.9,1),0)</f>
        <v>500</v>
      </c>
      <c r="S42" s="24">
        <f t="shared" si="156"/>
        <v>0</v>
      </c>
      <c r="T42" s="24">
        <f>ROUND(INDEX($C$2:$C$5,MATCH($E42,$B$2:$B$5,0))*$J42/SUMIFS($J:$J,$E:$E,$E42,$B:$B,$B42,S:S,1)*IF(B42=$B$10,0.9,1),0)</f>
        <v>500</v>
      </c>
      <c r="U42" s="24">
        <f t="shared" si="156"/>
        <v>0</v>
      </c>
      <c r="V42" s="24">
        <f>ROUND(INDEX($C$2:$C$5,MATCH($E42,$B$2:$B$5,0))*$K42/SUMIFS($K:$K,$E:$E,$E42,$B:$B,$B42,U:U,1)*IF(B42=$B$10,0.9,1),0)</f>
        <v>500</v>
      </c>
      <c r="W42" s="24">
        <f t="shared" ref="W42:AA42" si="157">IF($L42&lt;=W$8,1,0)</f>
        <v>0</v>
      </c>
      <c r="X42" s="24">
        <f>ROUND(INDEX($C$2:$C$5,MATCH($E42,$B$2:$B$5,0))*$F42/SUMIFS($F:$F,$E:$E,$E42,$B:$B,$B42,W:W,1)*IF(B42=$B$10,0.9,1),0)</f>
        <v>500</v>
      </c>
      <c r="Y42" s="24">
        <f t="shared" si="157"/>
        <v>0</v>
      </c>
      <c r="Z42" s="24">
        <f>ROUND(INDEX($C$2:$C$5,MATCH($E42,$B$2:$B$5,0))*$G42/SUMIFS($G:$G,$E:$E,$E42,$B:$B,$B42,Y:Y,1)*IF(B42=$B$10,0.9,1),0)</f>
        <v>500</v>
      </c>
      <c r="AA42" s="24">
        <f t="shared" si="157"/>
        <v>0</v>
      </c>
      <c r="AB42" s="24">
        <f>ROUND(INDEX($C$2:$C$5,MATCH($E42,$B$2:$B$5,0))*$H42/SUMIFS($H:$H,$E:$E,$E42,$B:$B,$B42,AA:AA,1)*IF(B42=$B$10,0.9,1),0)</f>
        <v>500</v>
      </c>
      <c r="AC42" s="24">
        <f t="shared" ref="AC42:AG42" si="158">IF($L42&lt;=AC$8,1,0)</f>
        <v>1</v>
      </c>
      <c r="AD42" s="24">
        <f>ROUND(INDEX($C$2:$C$5,MATCH($E42,$B$2:$B$5,0))*$F42/SUMIFS($F:$F,$E:$E,$E42,$B:$B,$B42,AC:AC,1)*IF(B42=$B$10,0.9,1),0)</f>
        <v>250</v>
      </c>
      <c r="AE42" s="24">
        <f t="shared" si="158"/>
        <v>1</v>
      </c>
      <c r="AF42" s="24">
        <f>ROUND(INDEX($C$2:$C$5,MATCH($E42,$B$2:$B$5,0))*$G42/SUMIFS($G:$G,$E:$E,$E42,$B:$B,$B42,AE:AE,1)*IF(B42=$B$10,0.9,1),0)</f>
        <v>250</v>
      </c>
      <c r="AG42" s="24">
        <f t="shared" si="158"/>
        <v>1</v>
      </c>
      <c r="AH42" s="24">
        <f>ROUND(INDEX($C$2:$C$5,MATCH($E42,$B$2:$B$5,0))*$H42/SUMIFS($H:$H,$E:$E,$E42,$B:$B,$B42,AG:AG,1)*IF(B42=$B$10,0.9,1),0)</f>
        <v>250</v>
      </c>
      <c r="AI42" s="24">
        <f t="shared" ref="AI42:AM42" si="159">IF($L42&lt;=AI$8,1,0)</f>
        <v>1</v>
      </c>
      <c r="AJ42" s="24">
        <f>ROUND(INDEX($C$2:$C$5,MATCH($E42,$B$2:$B$5,0))*$F42/SUMIFS($F:$F,$E:$E,$E42,$B:$B,$B42,AI:AI,1)*IF(B42=$B$10,0.9,1),0)</f>
        <v>250</v>
      </c>
      <c r="AK42" s="24">
        <f t="shared" si="159"/>
        <v>1</v>
      </c>
      <c r="AL42" s="24">
        <f>ROUND(INDEX($C$2:$C$5,MATCH($E42,$B$2:$B$5,0))*$G42/SUMIFS($G:$G,$E:$E,$E42,$B:$B,$B42,AK:AK,1)*IF(B42=$B$10,0.9,1),0)</f>
        <v>250</v>
      </c>
      <c r="AM42" s="24">
        <f t="shared" si="159"/>
        <v>1</v>
      </c>
      <c r="AN42" s="24">
        <f>ROUND(INDEX($C$2:$C$5,MATCH($E42,$B$2:$B$5,0))*$H42/SUMIFS($H:$H,$E:$E,$E42,$B:$B,$B42,AM:AM,1)*IF(B42=$B$10,0.9,1),0)</f>
        <v>250</v>
      </c>
      <c r="AX42" s="4" t="str">
        <f t="shared" si="4"/>
        <v>1,250</v>
      </c>
      <c r="AY42" s="4" t="str">
        <f t="shared" si="5"/>
        <v>0,500</v>
      </c>
      <c r="AZ42" s="4" t="str">
        <f t="shared" si="6"/>
        <v>0,500</v>
      </c>
      <c r="BA42" s="4" t="str">
        <f t="shared" si="7"/>
        <v>0,500</v>
      </c>
      <c r="BB42" s="4" t="str">
        <f t="shared" si="8"/>
        <v>0,500</v>
      </c>
      <c r="BC42" s="4" t="str">
        <f t="shared" si="9"/>
        <v>0,500</v>
      </c>
      <c r="BD42" s="4" t="str">
        <f t="shared" si="10"/>
        <v>0,500</v>
      </c>
      <c r="BE42" s="4" t="str">
        <f t="shared" si="11"/>
        <v>1,250</v>
      </c>
      <c r="BF42" s="4" t="str">
        <f t="shared" si="12"/>
        <v>1,250</v>
      </c>
      <c r="BG42" s="4" t="str">
        <f t="shared" si="13"/>
        <v>1,250</v>
      </c>
      <c r="BH42" s="4" t="str">
        <f t="shared" si="14"/>
        <v>1,250</v>
      </c>
      <c r="BI42" s="4" t="str">
        <f t="shared" si="15"/>
        <v>1,250</v>
      </c>
      <c r="BJ42" s="4" t="str">
        <f t="shared" si="16"/>
        <v>1,250</v>
      </c>
    </row>
    <row r="43" customHeight="1" spans="1:62">
      <c r="A43" s="35">
        <v>252</v>
      </c>
      <c r="B43" s="40" t="s">
        <v>32</v>
      </c>
      <c r="C43" s="40" t="s">
        <v>218</v>
      </c>
      <c r="D43" s="48" t="s">
        <v>374</v>
      </c>
      <c r="E43" s="50">
        <v>4</v>
      </c>
      <c r="F43" s="35">
        <v>1</v>
      </c>
      <c r="G43" s="35">
        <f t="shared" si="17"/>
        <v>1</v>
      </c>
      <c r="H43" s="35">
        <v>1</v>
      </c>
      <c r="I43" s="35">
        <v>1</v>
      </c>
      <c r="J43" s="35">
        <v>1</v>
      </c>
      <c r="K43" s="35">
        <v>1</v>
      </c>
      <c r="L43" s="35">
        <v>1</v>
      </c>
      <c r="M43" s="35"/>
      <c r="N43">
        <f t="shared" si="18"/>
        <v>500</v>
      </c>
      <c r="O43" s="35">
        <v>1</v>
      </c>
      <c r="P43" s="24">
        <f>ROUND(INDEX($C$2:$C$5,MATCH($E43,$B$2:$B$5,0))*$F43/SUMIFS($F:$F,$E:$E,$E43,$B:$B,$B43,O:O,1)*IF(B43=$B$10,0.9,1),0)</f>
        <v>250</v>
      </c>
      <c r="Q43" s="24">
        <f t="shared" ref="Q43:U43" si="160">IF($L43&lt;=Q$8,1,0)</f>
        <v>1</v>
      </c>
      <c r="R43" s="24">
        <f>ROUND(INDEX($C$2:$C$5,MATCH($E43,$B$2:$B$5,0))*$I43/SUMIFS($I:$I,$E:$E,$E43,$B:$B,$B43,Q:Q,1)*IF(B43=$B$10,0.9,1),0)</f>
        <v>500</v>
      </c>
      <c r="S43" s="24">
        <f t="shared" si="160"/>
        <v>1</v>
      </c>
      <c r="T43" s="24">
        <f>ROUND(INDEX($C$2:$C$5,MATCH($E43,$B$2:$B$5,0))*$J43/SUMIFS($J:$J,$E:$E,$E43,$B:$B,$B43,S:S,1)*IF(B43=$B$10,0.9,1),0)</f>
        <v>500</v>
      </c>
      <c r="U43" s="24">
        <f t="shared" si="160"/>
        <v>1</v>
      </c>
      <c r="V43" s="24">
        <f>ROUND(INDEX($C$2:$C$5,MATCH($E43,$B$2:$B$5,0))*$K43/SUMIFS($K:$K,$E:$E,$E43,$B:$B,$B43,U:U,1)*IF(B43=$B$10,0.9,1),0)</f>
        <v>500</v>
      </c>
      <c r="W43" s="24">
        <f t="shared" ref="W43:AA43" si="161">IF($L43&lt;=W$8,1,0)</f>
        <v>1</v>
      </c>
      <c r="X43" s="24">
        <f>ROUND(INDEX($C$2:$C$5,MATCH($E43,$B$2:$B$5,0))*$F43/SUMIFS($F:$F,$E:$E,$E43,$B:$B,$B43,W:W,1)*IF(B43=$B$10,0.9,1),0)</f>
        <v>500</v>
      </c>
      <c r="Y43" s="24">
        <f t="shared" si="161"/>
        <v>1</v>
      </c>
      <c r="Z43" s="24">
        <f>ROUND(INDEX($C$2:$C$5,MATCH($E43,$B$2:$B$5,0))*$G43/SUMIFS($G:$G,$E:$E,$E43,$B:$B,$B43,Y:Y,1)*IF(B43=$B$10,0.9,1),0)</f>
        <v>500</v>
      </c>
      <c r="AA43" s="24">
        <f t="shared" si="161"/>
        <v>1</v>
      </c>
      <c r="AB43" s="24">
        <f>ROUND(INDEX($C$2:$C$5,MATCH($E43,$B$2:$B$5,0))*$H43/SUMIFS($H:$H,$E:$E,$E43,$B:$B,$B43,AA:AA,1)*IF(B43=$B$10,0.9,1),0)</f>
        <v>500</v>
      </c>
      <c r="AC43" s="24">
        <f t="shared" ref="AC43:AG43" si="162">IF($L43&lt;=AC$8,1,0)</f>
        <v>1</v>
      </c>
      <c r="AD43" s="24">
        <f>ROUND(INDEX($C$2:$C$5,MATCH($E43,$B$2:$B$5,0))*$F43/SUMIFS($F:$F,$E:$E,$E43,$B:$B,$B43,AC:AC,1)*IF(B43=$B$10,0.9,1),0)</f>
        <v>250</v>
      </c>
      <c r="AE43" s="24">
        <f t="shared" si="162"/>
        <v>1</v>
      </c>
      <c r="AF43" s="24">
        <f>ROUND(INDEX($C$2:$C$5,MATCH($E43,$B$2:$B$5,0))*$G43/SUMIFS($G:$G,$E:$E,$E43,$B:$B,$B43,AE:AE,1)*IF(B43=$B$10,0.9,1),0)</f>
        <v>250</v>
      </c>
      <c r="AG43" s="24">
        <f t="shared" si="162"/>
        <v>1</v>
      </c>
      <c r="AH43" s="24">
        <f>ROUND(INDEX($C$2:$C$5,MATCH($E43,$B$2:$B$5,0))*$H43/SUMIFS($H:$H,$E:$E,$E43,$B:$B,$B43,AG:AG,1)*IF(B43=$B$10,0.9,1),0)</f>
        <v>250</v>
      </c>
      <c r="AI43" s="24">
        <f t="shared" ref="AI43:AM43" si="163">IF($L43&lt;=AI$8,1,0)</f>
        <v>1</v>
      </c>
      <c r="AJ43" s="24">
        <f>ROUND(INDEX($C$2:$C$5,MATCH($E43,$B$2:$B$5,0))*$F43/SUMIFS($F:$F,$E:$E,$E43,$B:$B,$B43,AI:AI,1)*IF(B43=$B$10,0.9,1),0)</f>
        <v>250</v>
      </c>
      <c r="AK43" s="24">
        <f t="shared" si="163"/>
        <v>1</v>
      </c>
      <c r="AL43" s="24">
        <f>ROUND(INDEX($C$2:$C$5,MATCH($E43,$B$2:$B$5,0))*$G43/SUMIFS($G:$G,$E:$E,$E43,$B:$B,$B43,AK:AK,1)*IF(B43=$B$10,0.9,1),0)</f>
        <v>250</v>
      </c>
      <c r="AM43" s="24">
        <f t="shared" si="163"/>
        <v>1</v>
      </c>
      <c r="AN43" s="24">
        <f>ROUND(INDEX($C$2:$C$5,MATCH($E43,$B$2:$B$5,0))*$H43/SUMIFS($H:$H,$E:$E,$E43,$B:$B,$B43,AM:AM,1)*IF(B43=$B$10,0.9,1),0)</f>
        <v>250</v>
      </c>
      <c r="AX43" s="4" t="str">
        <f t="shared" si="4"/>
        <v>1,250</v>
      </c>
      <c r="AY43" s="4" t="str">
        <f t="shared" si="5"/>
        <v>1,500</v>
      </c>
      <c r="AZ43" s="4" t="str">
        <f t="shared" si="6"/>
        <v>1,500</v>
      </c>
      <c r="BA43" s="4" t="str">
        <f t="shared" si="7"/>
        <v>1,500</v>
      </c>
      <c r="BB43" s="4" t="str">
        <f t="shared" si="8"/>
        <v>1,500</v>
      </c>
      <c r="BC43" s="4" t="str">
        <f t="shared" si="9"/>
        <v>1,500</v>
      </c>
      <c r="BD43" s="4" t="str">
        <f t="shared" si="10"/>
        <v>1,500</v>
      </c>
      <c r="BE43" s="4" t="str">
        <f t="shared" si="11"/>
        <v>1,250</v>
      </c>
      <c r="BF43" s="4" t="str">
        <f t="shared" si="12"/>
        <v>1,250</v>
      </c>
      <c r="BG43" s="4" t="str">
        <f t="shared" si="13"/>
        <v>1,250</v>
      </c>
      <c r="BH43" s="4" t="str">
        <f t="shared" si="14"/>
        <v>1,250</v>
      </c>
      <c r="BI43" s="4" t="str">
        <f t="shared" si="15"/>
        <v>1,250</v>
      </c>
      <c r="BJ43" s="4" t="str">
        <f t="shared" si="16"/>
        <v>1,250</v>
      </c>
    </row>
    <row r="44" customHeight="1" spans="1:62">
      <c r="A44" s="35">
        <v>301</v>
      </c>
      <c r="B44" s="40" t="s">
        <v>41</v>
      </c>
      <c r="C44" s="40" t="s">
        <v>218</v>
      </c>
      <c r="D44" s="41" t="s">
        <v>356</v>
      </c>
      <c r="E44" s="50">
        <v>1</v>
      </c>
      <c r="F44" s="35">
        <v>1</v>
      </c>
      <c r="G44" s="35">
        <f t="shared" si="17"/>
        <v>1</v>
      </c>
      <c r="H44" s="35">
        <v>1</v>
      </c>
      <c r="I44" s="35">
        <v>1</v>
      </c>
      <c r="J44" s="35">
        <v>1</v>
      </c>
      <c r="K44" s="35">
        <v>1</v>
      </c>
      <c r="L44" s="35">
        <v>1</v>
      </c>
      <c r="M44" s="35" t="s">
        <v>136</v>
      </c>
      <c r="N44">
        <f t="shared" si="18"/>
        <v>13500</v>
      </c>
      <c r="O44" s="35">
        <v>1</v>
      </c>
      <c r="P44" s="24">
        <f>ROUND(INDEX($C$2:$C$5,MATCH($E44,$B$2:$B$5,0))*$F44/SUMIFS($F:$F,$E:$E,$E44,$B:$B,$B44,O:O,1)*IF(B44=$B$10,0.9,1),0)</f>
        <v>6750</v>
      </c>
      <c r="Q44" s="24">
        <f t="shared" ref="Q44:U44" si="164">IF($L44&lt;=Q$8,1,0)</f>
        <v>1</v>
      </c>
      <c r="R44" s="24">
        <f>ROUND(INDEX($C$2:$C$5,MATCH($E44,$B$2:$B$5,0))*$I44/SUMIFS($I:$I,$E:$E,$E44,$B:$B,$B44,Q:Q,1)*IF(B44=$B$10,0.9,1),0)</f>
        <v>6750</v>
      </c>
      <c r="S44" s="24">
        <f t="shared" si="164"/>
        <v>1</v>
      </c>
      <c r="T44" s="24">
        <f>ROUND(INDEX($C$2:$C$5,MATCH($E44,$B$2:$B$5,0))*$J44/SUMIFS($J:$J,$E:$E,$E44,$B:$B,$B44,S:S,1)*IF(B44=$B$10,0.9,1),0)</f>
        <v>6750</v>
      </c>
      <c r="U44" s="24">
        <f t="shared" si="164"/>
        <v>1</v>
      </c>
      <c r="V44" s="24">
        <f>ROUND(INDEX($C$2:$C$5,MATCH($E44,$B$2:$B$5,0))*$K44/SUMIFS($K:$K,$E:$E,$E44,$B:$B,$B44,U:U,1)*IF(B44=$B$10,0.9,1),0)</f>
        <v>6750</v>
      </c>
      <c r="W44" s="24">
        <f t="shared" ref="W44:AA44" si="165">IF($L44&lt;=W$8,1,0)</f>
        <v>1</v>
      </c>
      <c r="X44" s="24">
        <f>ROUND(INDEX($C$2:$C$5,MATCH($E44,$B$2:$B$5,0))*$F44/SUMIFS($F:$F,$E:$E,$E44,$B:$B,$B44,W:W,1)*IF(B44=$B$10,0.9,1),0)</f>
        <v>6750</v>
      </c>
      <c r="Y44" s="24">
        <f t="shared" si="165"/>
        <v>1</v>
      </c>
      <c r="Z44" s="24">
        <f>ROUND(INDEX($C$2:$C$5,MATCH($E44,$B$2:$B$5,0))*$G44/SUMIFS($G:$G,$E:$E,$E44,$B:$B,$B44,Y:Y,1)*IF(B44=$B$10,0.9,1),0)</f>
        <v>6750</v>
      </c>
      <c r="AA44" s="24">
        <f t="shared" si="165"/>
        <v>1</v>
      </c>
      <c r="AB44" s="24">
        <f>ROUND(INDEX($C$2:$C$5,MATCH($E44,$B$2:$B$5,0))*$H44/SUMIFS($H:$H,$E:$E,$E44,$B:$B,$B44,AA:AA,1)*IF(B44=$B$10,0.9,1),0)</f>
        <v>6750</v>
      </c>
      <c r="AC44" s="24">
        <f t="shared" ref="AC44:AG44" si="166">IF($L44&lt;=AC$8,1,0)</f>
        <v>1</v>
      </c>
      <c r="AD44" s="24">
        <f>ROUND(INDEX($C$2:$C$5,MATCH($E44,$B$2:$B$5,0))*$F44/SUMIFS($F:$F,$E:$E,$E44,$B:$B,$B44,AC:AC,1)*IF(B44=$B$10,0.9,1),0)</f>
        <v>6750</v>
      </c>
      <c r="AE44" s="24">
        <f t="shared" si="166"/>
        <v>1</v>
      </c>
      <c r="AF44" s="24">
        <f>ROUND(INDEX($C$2:$C$5,MATCH($E44,$B$2:$B$5,0))*$G44/SUMIFS($G:$G,$E:$E,$E44,$B:$B,$B44,AE:AE,1)*IF(B44=$B$10,0.9,1),0)</f>
        <v>6750</v>
      </c>
      <c r="AG44" s="24">
        <f t="shared" si="166"/>
        <v>1</v>
      </c>
      <c r="AH44" s="24">
        <f>ROUND(INDEX($C$2:$C$5,MATCH($E44,$B$2:$B$5,0))*$H44/SUMIFS($H:$H,$E:$E,$E44,$B:$B,$B44,AG:AG,1)*IF(B44=$B$10,0.9,1),0)</f>
        <v>6750</v>
      </c>
      <c r="AI44" s="24">
        <f t="shared" ref="AI44:AM44" si="167">IF($L44&lt;=AI$8,1,0)</f>
        <v>1</v>
      </c>
      <c r="AJ44" s="24">
        <f>ROUND(INDEX($C$2:$C$5,MATCH($E44,$B$2:$B$5,0))*$F44/SUMIFS($F:$F,$E:$E,$E44,$B:$B,$B44,AI:AI,1)*IF(B44=$B$10,0.9,1),0)</f>
        <v>6750</v>
      </c>
      <c r="AK44" s="24">
        <f t="shared" si="167"/>
        <v>1</v>
      </c>
      <c r="AL44" s="24">
        <f>ROUND(INDEX($C$2:$C$5,MATCH($E44,$B$2:$B$5,0))*$G44/SUMIFS($G:$G,$E:$E,$E44,$B:$B,$B44,AK:AK,1)*IF(B44=$B$10,0.9,1),0)</f>
        <v>6750</v>
      </c>
      <c r="AM44" s="24">
        <f t="shared" si="167"/>
        <v>1</v>
      </c>
      <c r="AN44" s="24">
        <f>ROUND(INDEX($C$2:$C$5,MATCH($E44,$B$2:$B$5,0))*$H44/SUMIFS($H:$H,$E:$E,$E44,$B:$B,$B44,AM:AM,1)*IF(B44=$B$10,0.9,1),0)</f>
        <v>6750</v>
      </c>
      <c r="AX44" s="4" t="str">
        <f t="shared" si="4"/>
        <v>1,6750</v>
      </c>
      <c r="AY44" s="4" t="str">
        <f t="shared" si="5"/>
        <v>1,6750</v>
      </c>
      <c r="AZ44" s="4" t="str">
        <f t="shared" si="6"/>
        <v>1,6750</v>
      </c>
      <c r="BA44" s="4" t="str">
        <f t="shared" si="7"/>
        <v>1,6750</v>
      </c>
      <c r="BB44" s="4" t="str">
        <f t="shared" si="8"/>
        <v>1,6750</v>
      </c>
      <c r="BC44" s="4" t="str">
        <f t="shared" si="9"/>
        <v>1,6750</v>
      </c>
      <c r="BD44" s="4" t="str">
        <f t="shared" si="10"/>
        <v>1,6750</v>
      </c>
      <c r="BE44" s="4" t="str">
        <f t="shared" si="11"/>
        <v>1,6750</v>
      </c>
      <c r="BF44" s="4" t="str">
        <f t="shared" si="12"/>
        <v>1,6750</v>
      </c>
      <c r="BG44" s="4" t="str">
        <f t="shared" si="13"/>
        <v>1,6750</v>
      </c>
      <c r="BH44" s="4" t="str">
        <f t="shared" si="14"/>
        <v>1,6750</v>
      </c>
      <c r="BI44" s="4" t="str">
        <f t="shared" si="15"/>
        <v>1,6750</v>
      </c>
      <c r="BJ44" s="4" t="str">
        <f t="shared" si="16"/>
        <v>1,6750</v>
      </c>
    </row>
    <row r="45" customHeight="1" spans="1:62">
      <c r="A45" s="49">
        <v>302</v>
      </c>
      <c r="B45" s="40" t="s">
        <v>41</v>
      </c>
      <c r="C45" s="40"/>
      <c r="D45" s="41" t="s">
        <v>357</v>
      </c>
      <c r="E45" s="35">
        <v>1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/>
      <c r="N45">
        <f t="shared" si="18"/>
        <v>13500</v>
      </c>
      <c r="O45" s="35">
        <v>1</v>
      </c>
      <c r="P45" s="24">
        <f>ROUND(INDEX($C$2:$C$5,MATCH($E45,$B$2:$B$5,0))*$F45/SUMIFS($F:$F,$E:$E,$E45,$B:$B,$B45,O:O,1)*IF(B45=$B$10,0.9,1),0)</f>
        <v>0</v>
      </c>
      <c r="Q45" s="24">
        <f t="shared" ref="Q45:U45" si="168">IF($L45&lt;=Q$8,1,0)</f>
        <v>1</v>
      </c>
      <c r="R45" s="24">
        <f>ROUND(INDEX($C$2:$C$5,MATCH($E45,$B$2:$B$5,0))*$I45/SUMIFS($I:$I,$E:$E,$E45,$B:$B,$B45,Q:Q,1)*IF(B45=$B$10,0.9,1),0)</f>
        <v>0</v>
      </c>
      <c r="S45" s="24">
        <f t="shared" si="168"/>
        <v>1</v>
      </c>
      <c r="T45" s="24">
        <f>ROUND(INDEX($C$2:$C$5,MATCH($E45,$B$2:$B$5,0))*$J45/SUMIFS($J:$J,$E:$E,$E45,$B:$B,$B45,S:S,1)*IF(B45=$B$10,0.9,1),0)</f>
        <v>0</v>
      </c>
      <c r="U45" s="24">
        <f t="shared" si="168"/>
        <v>1</v>
      </c>
      <c r="V45" s="24">
        <f>ROUND(INDEX($C$2:$C$5,MATCH($E45,$B$2:$B$5,0))*$K45/SUMIFS($K:$K,$E:$E,$E45,$B:$B,$B45,U:U,1)*IF(B45=$B$10,0.9,1),0)</f>
        <v>0</v>
      </c>
      <c r="W45" s="24">
        <f t="shared" ref="W45:AA45" si="169">IF($L45&lt;=W$8,1,0)</f>
        <v>1</v>
      </c>
      <c r="X45" s="24">
        <f>ROUND(INDEX($C$2:$C$5,MATCH($E45,$B$2:$B$5,0))*$F45/SUMIFS($F:$F,$E:$E,$E45,$B:$B,$B45,W:W,1)*IF(B45=$B$10,0.9,1),0)</f>
        <v>0</v>
      </c>
      <c r="Y45" s="24">
        <f t="shared" si="169"/>
        <v>1</v>
      </c>
      <c r="Z45" s="24">
        <f>ROUND(INDEX($C$2:$C$5,MATCH($E45,$B$2:$B$5,0))*$G45/SUMIFS($G:$G,$E:$E,$E45,$B:$B,$B45,Y:Y,1)*IF(B45=$B$10,0.9,1),0)</f>
        <v>0</v>
      </c>
      <c r="AA45" s="24">
        <f t="shared" si="169"/>
        <v>1</v>
      </c>
      <c r="AB45" s="24">
        <f>ROUND(INDEX($C$2:$C$5,MATCH($E45,$B$2:$B$5,0))*$H45/SUMIFS($H:$H,$E:$E,$E45,$B:$B,$B45,AA:AA,1)*IF(B45=$B$10,0.9,1),0)</f>
        <v>0</v>
      </c>
      <c r="AC45" s="24">
        <f t="shared" ref="AC45:AG45" si="170">IF($L45&lt;=AC$8,1,0)</f>
        <v>1</v>
      </c>
      <c r="AD45" s="24">
        <f>ROUND(INDEX($C$2:$C$5,MATCH($E45,$B$2:$B$5,0))*$F45/SUMIFS($F:$F,$E:$E,$E45,$B:$B,$B45,AC:AC,1)*IF(B45=$B$10,0.9,1),0)</f>
        <v>0</v>
      </c>
      <c r="AE45" s="24">
        <f t="shared" si="170"/>
        <v>1</v>
      </c>
      <c r="AF45" s="24">
        <f>ROUND(INDEX($C$2:$C$5,MATCH($E45,$B$2:$B$5,0))*$G45/SUMIFS($G:$G,$E:$E,$E45,$B:$B,$B45,AE:AE,1)*IF(B45=$B$10,0.9,1),0)</f>
        <v>0</v>
      </c>
      <c r="AG45" s="24">
        <f t="shared" si="170"/>
        <v>1</v>
      </c>
      <c r="AH45" s="24">
        <f>ROUND(INDEX($C$2:$C$5,MATCH($E45,$B$2:$B$5,0))*$H45/SUMIFS($H:$H,$E:$E,$E45,$B:$B,$B45,AG:AG,1)*IF(B45=$B$10,0.9,1),0)</f>
        <v>0</v>
      </c>
      <c r="AI45" s="24">
        <f t="shared" ref="AI45:AM45" si="171">IF($L45&lt;=AI$8,1,0)</f>
        <v>1</v>
      </c>
      <c r="AJ45" s="24">
        <f>ROUND(INDEX($C$2:$C$5,MATCH($E45,$B$2:$B$5,0))*$F45/SUMIFS($F:$F,$E:$E,$E45,$B:$B,$B45,AI:AI,1)*IF(B45=$B$10,0.9,1),0)</f>
        <v>0</v>
      </c>
      <c r="AK45" s="24">
        <f t="shared" si="171"/>
        <v>1</v>
      </c>
      <c r="AL45" s="24">
        <f>ROUND(INDEX($C$2:$C$5,MATCH($E45,$B$2:$B$5,0))*$G45/SUMIFS($G:$G,$E:$E,$E45,$B:$B,$B45,AK:AK,1)*IF(B45=$B$10,0.9,1),0)</f>
        <v>0</v>
      </c>
      <c r="AM45" s="24">
        <f t="shared" si="171"/>
        <v>1</v>
      </c>
      <c r="AN45" s="24">
        <f>ROUND(INDEX($C$2:$C$5,MATCH($E45,$B$2:$B$5,0))*$H45/SUMIFS($H:$H,$E:$E,$E45,$B:$B,$B45,AM:AM,1)*IF(B45=$B$10,0.9,1),0)</f>
        <v>0</v>
      </c>
      <c r="AX45" s="4" t="str">
        <f t="shared" si="4"/>
        <v>1,0</v>
      </c>
      <c r="AY45" s="4" t="str">
        <f t="shared" si="5"/>
        <v>1,0</v>
      </c>
      <c r="AZ45" s="4" t="str">
        <f t="shared" si="6"/>
        <v>1,0</v>
      </c>
      <c r="BA45" s="4" t="str">
        <f t="shared" si="7"/>
        <v>1,0</v>
      </c>
      <c r="BB45" s="4" t="str">
        <f t="shared" si="8"/>
        <v>1,0</v>
      </c>
      <c r="BC45" s="4" t="str">
        <f t="shared" si="9"/>
        <v>1,0</v>
      </c>
      <c r="BD45" s="4" t="str">
        <f t="shared" si="10"/>
        <v>1,0</v>
      </c>
      <c r="BE45" s="4" t="str">
        <f t="shared" si="11"/>
        <v>1,0</v>
      </c>
      <c r="BF45" s="4" t="str">
        <f t="shared" si="12"/>
        <v>1,0</v>
      </c>
      <c r="BG45" s="4" t="str">
        <f t="shared" si="13"/>
        <v>1,0</v>
      </c>
      <c r="BH45" s="4" t="str">
        <f t="shared" si="14"/>
        <v>1,0</v>
      </c>
      <c r="BI45" s="4" t="str">
        <f t="shared" si="15"/>
        <v>1,0</v>
      </c>
      <c r="BJ45" s="4" t="str">
        <f t="shared" si="16"/>
        <v>1,0</v>
      </c>
    </row>
    <row r="46" customHeight="1" spans="1:62">
      <c r="A46" s="35">
        <v>303</v>
      </c>
      <c r="B46" s="40" t="s">
        <v>41</v>
      </c>
      <c r="C46" s="40"/>
      <c r="D46" s="41" t="s">
        <v>361</v>
      </c>
      <c r="E46" s="43">
        <v>1</v>
      </c>
      <c r="F46" s="35">
        <v>1</v>
      </c>
      <c r="G46" s="35">
        <f t="shared" si="17"/>
        <v>1</v>
      </c>
      <c r="H46" s="35">
        <v>1</v>
      </c>
      <c r="I46" s="35">
        <v>1</v>
      </c>
      <c r="J46" s="35">
        <v>1</v>
      </c>
      <c r="K46" s="35">
        <v>1</v>
      </c>
      <c r="L46" s="35">
        <v>1</v>
      </c>
      <c r="M46" s="35"/>
      <c r="N46">
        <f t="shared" si="18"/>
        <v>13500</v>
      </c>
      <c r="O46" s="35">
        <v>1</v>
      </c>
      <c r="P46" s="24">
        <f>ROUND(INDEX($C$2:$C$5,MATCH($E46,$B$2:$B$5,0))*$F46/SUMIFS($F:$F,$E:$E,$E46,$B:$B,$B46,O:O,1)*IF(B46=$B$10,0.9,1),0)</f>
        <v>6750</v>
      </c>
      <c r="Q46" s="24">
        <f t="shared" ref="Q46:U46" si="172">IF($L46&lt;=Q$8,1,0)</f>
        <v>1</v>
      </c>
      <c r="R46" s="24">
        <f>ROUND(INDEX($C$2:$C$5,MATCH($E46,$B$2:$B$5,0))*$I46/SUMIFS($I:$I,$E:$E,$E46,$B:$B,$B46,Q:Q,1)*IF(B46=$B$10,0.9,1),0)</f>
        <v>6750</v>
      </c>
      <c r="S46" s="24">
        <f t="shared" si="172"/>
        <v>1</v>
      </c>
      <c r="T46" s="24">
        <f>ROUND(INDEX($C$2:$C$5,MATCH($E46,$B$2:$B$5,0))*$J46/SUMIFS($J:$J,$E:$E,$E46,$B:$B,$B46,S:S,1)*IF(B46=$B$10,0.9,1),0)</f>
        <v>6750</v>
      </c>
      <c r="U46" s="24">
        <f t="shared" si="172"/>
        <v>1</v>
      </c>
      <c r="V46" s="24">
        <f>ROUND(INDEX($C$2:$C$5,MATCH($E46,$B$2:$B$5,0))*$K46/SUMIFS($K:$K,$E:$E,$E46,$B:$B,$B46,U:U,1)*IF(B46=$B$10,0.9,1),0)</f>
        <v>6750</v>
      </c>
      <c r="W46" s="24">
        <f t="shared" ref="W46:AA46" si="173">IF($L46&lt;=W$8,1,0)</f>
        <v>1</v>
      </c>
      <c r="X46" s="24">
        <f>ROUND(INDEX($C$2:$C$5,MATCH($E46,$B$2:$B$5,0))*$F46/SUMIFS($F:$F,$E:$E,$E46,$B:$B,$B46,W:W,1)*IF(B46=$B$10,0.9,1),0)</f>
        <v>6750</v>
      </c>
      <c r="Y46" s="24">
        <f t="shared" si="173"/>
        <v>1</v>
      </c>
      <c r="Z46" s="24">
        <f>ROUND(INDEX($C$2:$C$5,MATCH($E46,$B$2:$B$5,0))*$G46/SUMIFS($G:$G,$E:$E,$E46,$B:$B,$B46,Y:Y,1)*IF(B46=$B$10,0.9,1),0)</f>
        <v>6750</v>
      </c>
      <c r="AA46" s="24">
        <f t="shared" si="173"/>
        <v>1</v>
      </c>
      <c r="AB46" s="24">
        <f>ROUND(INDEX($C$2:$C$5,MATCH($E46,$B$2:$B$5,0))*$H46/SUMIFS($H:$H,$E:$E,$E46,$B:$B,$B46,AA:AA,1)*IF(B46=$B$10,0.9,1),0)</f>
        <v>6750</v>
      </c>
      <c r="AC46" s="24">
        <f t="shared" ref="AC46:AG46" si="174">IF($L46&lt;=AC$8,1,0)</f>
        <v>1</v>
      </c>
      <c r="AD46" s="24">
        <f>ROUND(INDEX($C$2:$C$5,MATCH($E46,$B$2:$B$5,0))*$F46/SUMIFS($F:$F,$E:$E,$E46,$B:$B,$B46,AC:AC,1)*IF(B46=$B$10,0.9,1),0)</f>
        <v>6750</v>
      </c>
      <c r="AE46" s="24">
        <f t="shared" si="174"/>
        <v>1</v>
      </c>
      <c r="AF46" s="24">
        <f>ROUND(INDEX($C$2:$C$5,MATCH($E46,$B$2:$B$5,0))*$G46/SUMIFS($G:$G,$E:$E,$E46,$B:$B,$B46,AE:AE,1)*IF(B46=$B$10,0.9,1),0)</f>
        <v>6750</v>
      </c>
      <c r="AG46" s="24">
        <f t="shared" si="174"/>
        <v>1</v>
      </c>
      <c r="AH46" s="24">
        <f>ROUND(INDEX($C$2:$C$5,MATCH($E46,$B$2:$B$5,0))*$H46/SUMIFS($H:$H,$E:$E,$E46,$B:$B,$B46,AG:AG,1)*IF(B46=$B$10,0.9,1),0)</f>
        <v>6750</v>
      </c>
      <c r="AI46" s="24">
        <f t="shared" ref="AI46:AM46" si="175">IF($L46&lt;=AI$8,1,0)</f>
        <v>1</v>
      </c>
      <c r="AJ46" s="24">
        <f>ROUND(INDEX($C$2:$C$5,MATCH($E46,$B$2:$B$5,0))*$F46/SUMIFS($F:$F,$E:$E,$E46,$B:$B,$B46,AI:AI,1)*IF(B46=$B$10,0.9,1),0)</f>
        <v>6750</v>
      </c>
      <c r="AK46" s="24">
        <f t="shared" si="175"/>
        <v>1</v>
      </c>
      <c r="AL46" s="24">
        <f>ROUND(INDEX($C$2:$C$5,MATCH($E46,$B$2:$B$5,0))*$G46/SUMIFS($G:$G,$E:$E,$E46,$B:$B,$B46,AK:AK,1)*IF(B46=$B$10,0.9,1),0)</f>
        <v>6750</v>
      </c>
      <c r="AM46" s="24">
        <f t="shared" si="175"/>
        <v>1</v>
      </c>
      <c r="AN46" s="24">
        <f>ROUND(INDEX($C$2:$C$5,MATCH($E46,$B$2:$B$5,0))*$H46/SUMIFS($H:$H,$E:$E,$E46,$B:$B,$B46,AM:AM,1)*IF(B46=$B$10,0.9,1),0)</f>
        <v>6750</v>
      </c>
      <c r="AX46" s="4" t="str">
        <f t="shared" si="4"/>
        <v>1,6750</v>
      </c>
      <c r="AY46" s="4" t="str">
        <f t="shared" si="5"/>
        <v>1,6750</v>
      </c>
      <c r="AZ46" s="4" t="str">
        <f t="shared" si="6"/>
        <v>1,6750</v>
      </c>
      <c r="BA46" s="4" t="str">
        <f t="shared" si="7"/>
        <v>1,6750</v>
      </c>
      <c r="BB46" s="4" t="str">
        <f t="shared" si="8"/>
        <v>1,6750</v>
      </c>
      <c r="BC46" s="4" t="str">
        <f t="shared" si="9"/>
        <v>1,6750</v>
      </c>
      <c r="BD46" s="4" t="str">
        <f t="shared" si="10"/>
        <v>1,6750</v>
      </c>
      <c r="BE46" s="4" t="str">
        <f t="shared" si="11"/>
        <v>1,6750</v>
      </c>
      <c r="BF46" s="4" t="str">
        <f t="shared" si="12"/>
        <v>1,6750</v>
      </c>
      <c r="BG46" s="4" t="str">
        <f t="shared" si="13"/>
        <v>1,6750</v>
      </c>
      <c r="BH46" s="4" t="str">
        <f t="shared" si="14"/>
        <v>1,6750</v>
      </c>
      <c r="BI46" s="4" t="str">
        <f t="shared" si="15"/>
        <v>1,6750</v>
      </c>
      <c r="BJ46" s="4" t="str">
        <f t="shared" si="16"/>
        <v>1,6750</v>
      </c>
    </row>
    <row r="47" customHeight="1" spans="1:62">
      <c r="A47" s="35">
        <v>311</v>
      </c>
      <c r="B47" s="40" t="s">
        <v>41</v>
      </c>
      <c r="C47" s="40"/>
      <c r="D47" s="44" t="s">
        <v>362</v>
      </c>
      <c r="E47" s="43">
        <v>2</v>
      </c>
      <c r="F47" s="35">
        <v>1</v>
      </c>
      <c r="G47" s="35">
        <f t="shared" si="17"/>
        <v>1</v>
      </c>
      <c r="H47" s="35">
        <v>1</v>
      </c>
      <c r="I47" s="35">
        <v>1</v>
      </c>
      <c r="J47" s="35">
        <v>1</v>
      </c>
      <c r="K47" s="35">
        <v>1</v>
      </c>
      <c r="L47" s="35">
        <v>1</v>
      </c>
      <c r="M47" s="35"/>
      <c r="N47">
        <f t="shared" si="18"/>
        <v>4500</v>
      </c>
      <c r="O47" s="35">
        <v>1</v>
      </c>
      <c r="P47" s="24">
        <f>ROUND(INDEX($C$2:$C$5,MATCH($E47,$B$2:$B$5,0))*$F47/SUMIFS($F:$F,$E:$E,$E47,$B:$B,$B47,O:O,1)*IF(B47=$B$10,0.9,1),0)</f>
        <v>1125</v>
      </c>
      <c r="Q47" s="24">
        <f t="shared" ref="Q47:U47" si="176">IF($L47&lt;=Q$8,1,0)</f>
        <v>1</v>
      </c>
      <c r="R47" s="24">
        <f>ROUND(INDEX($C$2:$C$5,MATCH($E47,$B$2:$B$5,0))*$I47/SUMIFS($I:$I,$E:$E,$E47,$B:$B,$B47,Q:Q,1)*IF(B47=$B$10,0.9,1),0)</f>
        <v>1500</v>
      </c>
      <c r="S47" s="24">
        <f t="shared" si="176"/>
        <v>1</v>
      </c>
      <c r="T47" s="24">
        <f>ROUND(INDEX($C$2:$C$5,MATCH($E47,$B$2:$B$5,0))*$J47/SUMIFS($J:$J,$E:$E,$E47,$B:$B,$B47,S:S,1)*IF(B47=$B$10,0.9,1),0)</f>
        <v>1500</v>
      </c>
      <c r="U47" s="24">
        <f t="shared" si="176"/>
        <v>1</v>
      </c>
      <c r="V47" s="24">
        <f>ROUND(INDEX($C$2:$C$5,MATCH($E47,$B$2:$B$5,0))*$K47/SUMIFS($K:$K,$E:$E,$E47,$B:$B,$B47,U:U,1)*IF(B47=$B$10,0.9,1),0)</f>
        <v>1500</v>
      </c>
      <c r="W47" s="24">
        <f t="shared" ref="W47:AA47" si="177">IF($L47&lt;=W$8,1,0)</f>
        <v>1</v>
      </c>
      <c r="X47" s="24">
        <f>ROUND(INDEX($C$2:$C$5,MATCH($E47,$B$2:$B$5,0))*$F47/SUMIFS($F:$F,$E:$E,$E47,$B:$B,$B47,W:W,1)*IF(B47=$B$10,0.9,1),0)</f>
        <v>1125</v>
      </c>
      <c r="Y47" s="24">
        <f t="shared" si="177"/>
        <v>1</v>
      </c>
      <c r="Z47" s="24">
        <f>ROUND(INDEX($C$2:$C$5,MATCH($E47,$B$2:$B$5,0))*$G47/SUMIFS($G:$G,$E:$E,$E47,$B:$B,$B47,Y:Y,1)*IF(B47=$B$10,0.9,1),0)</f>
        <v>1125</v>
      </c>
      <c r="AA47" s="24">
        <f t="shared" si="177"/>
        <v>1</v>
      </c>
      <c r="AB47" s="24">
        <f>ROUND(INDEX($C$2:$C$5,MATCH($E47,$B$2:$B$5,0))*$H47/SUMIFS($H:$H,$E:$E,$E47,$B:$B,$B47,AA:AA,1)*IF(B47=$B$10,0.9,1),0)</f>
        <v>1125</v>
      </c>
      <c r="AC47" s="24">
        <f t="shared" ref="AC47:AG47" si="178">IF($L47&lt;=AC$8,1,0)</f>
        <v>1</v>
      </c>
      <c r="AD47" s="24">
        <f>ROUND(INDEX($C$2:$C$5,MATCH($E47,$B$2:$B$5,0))*$F47/SUMIFS($F:$F,$E:$E,$E47,$B:$B,$B47,AC:AC,1)*IF(B47=$B$10,0.9,1),0)</f>
        <v>1125</v>
      </c>
      <c r="AE47" s="24">
        <f t="shared" si="178"/>
        <v>1</v>
      </c>
      <c r="AF47" s="24">
        <f>ROUND(INDEX($C$2:$C$5,MATCH($E47,$B$2:$B$5,0))*$G47/SUMIFS($G:$G,$E:$E,$E47,$B:$B,$B47,AE:AE,1)*IF(B47=$B$10,0.9,1),0)</f>
        <v>1125</v>
      </c>
      <c r="AG47" s="24">
        <f t="shared" si="178"/>
        <v>1</v>
      </c>
      <c r="AH47" s="24">
        <f>ROUND(INDEX($C$2:$C$5,MATCH($E47,$B$2:$B$5,0))*$H47/SUMIFS($H:$H,$E:$E,$E47,$B:$B,$B47,AG:AG,1)*IF(B47=$B$10,0.9,1),0)</f>
        <v>1125</v>
      </c>
      <c r="AI47" s="24">
        <f t="shared" ref="AI47:AM47" si="179">IF($L47&lt;=AI$8,1,0)</f>
        <v>1</v>
      </c>
      <c r="AJ47" s="24">
        <f>ROUND(INDEX($C$2:$C$5,MATCH($E47,$B$2:$B$5,0))*$F47/SUMIFS($F:$F,$E:$E,$E47,$B:$B,$B47,AI:AI,1)*IF(B47=$B$10,0.9,1),0)</f>
        <v>1125</v>
      </c>
      <c r="AK47" s="24">
        <f t="shared" si="179"/>
        <v>1</v>
      </c>
      <c r="AL47" s="24">
        <f>ROUND(INDEX($C$2:$C$5,MATCH($E47,$B$2:$B$5,0))*$G47/SUMIFS($G:$G,$E:$E,$E47,$B:$B,$B47,AK:AK,1)*IF(B47=$B$10,0.9,1),0)</f>
        <v>1125</v>
      </c>
      <c r="AM47" s="24">
        <f t="shared" si="179"/>
        <v>1</v>
      </c>
      <c r="AN47" s="24">
        <f>ROUND(INDEX($C$2:$C$5,MATCH($E47,$B$2:$B$5,0))*$H47/SUMIFS($H:$H,$E:$E,$E47,$B:$B,$B47,AM:AM,1)*IF(B47=$B$10,0.9,1),0)</f>
        <v>1125</v>
      </c>
      <c r="AX47" s="4" t="str">
        <f t="shared" si="4"/>
        <v>1,1125</v>
      </c>
      <c r="AY47" s="4" t="str">
        <f t="shared" si="5"/>
        <v>1,1500</v>
      </c>
      <c r="AZ47" s="4" t="str">
        <f t="shared" si="6"/>
        <v>1,1500</v>
      </c>
      <c r="BA47" s="4" t="str">
        <f t="shared" si="7"/>
        <v>1,1500</v>
      </c>
      <c r="BB47" s="4" t="str">
        <f t="shared" si="8"/>
        <v>1,1125</v>
      </c>
      <c r="BC47" s="4" t="str">
        <f t="shared" si="9"/>
        <v>1,1125</v>
      </c>
      <c r="BD47" s="4" t="str">
        <f t="shared" si="10"/>
        <v>1,1125</v>
      </c>
      <c r="BE47" s="4" t="str">
        <f t="shared" si="11"/>
        <v>1,1125</v>
      </c>
      <c r="BF47" s="4" t="str">
        <f t="shared" si="12"/>
        <v>1,1125</v>
      </c>
      <c r="BG47" s="4" t="str">
        <f t="shared" si="13"/>
        <v>1,1125</v>
      </c>
      <c r="BH47" s="4" t="str">
        <f t="shared" si="14"/>
        <v>1,1125</v>
      </c>
      <c r="BI47" s="4" t="str">
        <f t="shared" si="15"/>
        <v>1,1125</v>
      </c>
      <c r="BJ47" s="4" t="str">
        <f t="shared" si="16"/>
        <v>1,1125</v>
      </c>
    </row>
    <row r="48" customHeight="1" spans="1:62">
      <c r="A48" s="49">
        <v>312</v>
      </c>
      <c r="B48" s="40" t="s">
        <v>41</v>
      </c>
      <c r="C48" s="40"/>
      <c r="D48" s="44" t="s">
        <v>363</v>
      </c>
      <c r="E48" s="43">
        <v>2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/>
      <c r="N48">
        <f t="shared" si="18"/>
        <v>4500</v>
      </c>
      <c r="O48" s="35">
        <v>1</v>
      </c>
      <c r="P48" s="24">
        <f>ROUND(INDEX($C$2:$C$5,MATCH($E48,$B$2:$B$5,0))*$F48/SUMIFS($F:$F,$E:$E,$E48,$B:$B,$B48,O:O,1)*IF(B48=$B$10,0.9,1),0)</f>
        <v>0</v>
      </c>
      <c r="Q48" s="24">
        <f t="shared" ref="Q48:U48" si="180">IF($L48&lt;=Q$8,1,0)</f>
        <v>1</v>
      </c>
      <c r="R48" s="24">
        <f>ROUND(INDEX($C$2:$C$5,MATCH($E48,$B$2:$B$5,0))*$I48/SUMIFS($I:$I,$E:$E,$E48,$B:$B,$B48,Q:Q,1)*IF(B48=$B$10,0.9,1),0)</f>
        <v>0</v>
      </c>
      <c r="S48" s="24">
        <f t="shared" si="180"/>
        <v>1</v>
      </c>
      <c r="T48" s="24">
        <f>ROUND(INDEX($C$2:$C$5,MATCH($E48,$B$2:$B$5,0))*$J48/SUMIFS($J:$J,$E:$E,$E48,$B:$B,$B48,S:S,1)*IF(B48=$B$10,0.9,1),0)</f>
        <v>0</v>
      </c>
      <c r="U48" s="24">
        <f t="shared" si="180"/>
        <v>1</v>
      </c>
      <c r="V48" s="24">
        <f>ROUND(INDEX($C$2:$C$5,MATCH($E48,$B$2:$B$5,0))*$K48/SUMIFS($K:$K,$E:$E,$E48,$B:$B,$B48,U:U,1)*IF(B48=$B$10,0.9,1),0)</f>
        <v>0</v>
      </c>
      <c r="W48" s="24">
        <f t="shared" ref="W48:AA48" si="181">IF($L48&lt;=W$8,1,0)</f>
        <v>1</v>
      </c>
      <c r="X48" s="24">
        <f>ROUND(INDEX($C$2:$C$5,MATCH($E48,$B$2:$B$5,0))*$F48/SUMIFS($F:$F,$E:$E,$E48,$B:$B,$B48,W:W,1)*IF(B48=$B$10,0.9,1),0)</f>
        <v>0</v>
      </c>
      <c r="Y48" s="24">
        <f t="shared" si="181"/>
        <v>1</v>
      </c>
      <c r="Z48" s="24">
        <f>ROUND(INDEX($C$2:$C$5,MATCH($E48,$B$2:$B$5,0))*$G48/SUMIFS($G:$G,$E:$E,$E48,$B:$B,$B48,Y:Y,1)*IF(B48=$B$10,0.9,1),0)</f>
        <v>0</v>
      </c>
      <c r="AA48" s="24">
        <f t="shared" si="181"/>
        <v>1</v>
      </c>
      <c r="AB48" s="24">
        <f>ROUND(INDEX($C$2:$C$5,MATCH($E48,$B$2:$B$5,0))*$H48/SUMIFS($H:$H,$E:$E,$E48,$B:$B,$B48,AA:AA,1)*IF(B48=$B$10,0.9,1),0)</f>
        <v>0</v>
      </c>
      <c r="AC48" s="24">
        <f t="shared" ref="AC48:AG48" si="182">IF($L48&lt;=AC$8,1,0)</f>
        <v>1</v>
      </c>
      <c r="AD48" s="24">
        <f>ROUND(INDEX($C$2:$C$5,MATCH($E48,$B$2:$B$5,0))*$F48/SUMIFS($F:$F,$E:$E,$E48,$B:$B,$B48,AC:AC,1)*IF(B48=$B$10,0.9,1),0)</f>
        <v>0</v>
      </c>
      <c r="AE48" s="24">
        <f t="shared" si="182"/>
        <v>1</v>
      </c>
      <c r="AF48" s="24">
        <f>ROUND(INDEX($C$2:$C$5,MATCH($E48,$B$2:$B$5,0))*$G48/SUMIFS($G:$G,$E:$E,$E48,$B:$B,$B48,AE:AE,1)*IF(B48=$B$10,0.9,1),0)</f>
        <v>0</v>
      </c>
      <c r="AG48" s="24">
        <f t="shared" si="182"/>
        <v>1</v>
      </c>
      <c r="AH48" s="24">
        <f>ROUND(INDEX($C$2:$C$5,MATCH($E48,$B$2:$B$5,0))*$H48/SUMIFS($H:$H,$E:$E,$E48,$B:$B,$B48,AG:AG,1)*IF(B48=$B$10,0.9,1),0)</f>
        <v>0</v>
      </c>
      <c r="AI48" s="24">
        <f t="shared" ref="AI48:AM48" si="183">IF($L48&lt;=AI$8,1,0)</f>
        <v>1</v>
      </c>
      <c r="AJ48" s="24">
        <f>ROUND(INDEX($C$2:$C$5,MATCH($E48,$B$2:$B$5,0))*$F48/SUMIFS($F:$F,$E:$E,$E48,$B:$B,$B48,AI:AI,1)*IF(B48=$B$10,0.9,1),0)</f>
        <v>0</v>
      </c>
      <c r="AK48" s="24">
        <f t="shared" si="183"/>
        <v>1</v>
      </c>
      <c r="AL48" s="24">
        <f>ROUND(INDEX($C$2:$C$5,MATCH($E48,$B$2:$B$5,0))*$G48/SUMIFS($G:$G,$E:$E,$E48,$B:$B,$B48,AK:AK,1)*IF(B48=$B$10,0.9,1),0)</f>
        <v>0</v>
      </c>
      <c r="AM48" s="24">
        <f t="shared" si="183"/>
        <v>1</v>
      </c>
      <c r="AN48" s="24">
        <f>ROUND(INDEX($C$2:$C$5,MATCH($E48,$B$2:$B$5,0))*$H48/SUMIFS($H:$H,$E:$E,$E48,$B:$B,$B48,AM:AM,1)*IF(B48=$B$10,0.9,1),0)</f>
        <v>0</v>
      </c>
      <c r="AX48" s="4" t="str">
        <f t="shared" si="4"/>
        <v>1,0</v>
      </c>
      <c r="AY48" s="4" t="str">
        <f t="shared" si="5"/>
        <v>1,0</v>
      </c>
      <c r="AZ48" s="4" t="str">
        <f t="shared" si="6"/>
        <v>1,0</v>
      </c>
      <c r="BA48" s="4" t="str">
        <f t="shared" si="7"/>
        <v>1,0</v>
      </c>
      <c r="BB48" s="4" t="str">
        <f t="shared" si="8"/>
        <v>1,0</v>
      </c>
      <c r="BC48" s="4" t="str">
        <f t="shared" si="9"/>
        <v>1,0</v>
      </c>
      <c r="BD48" s="4" t="str">
        <f t="shared" si="10"/>
        <v>1,0</v>
      </c>
      <c r="BE48" s="4" t="str">
        <f t="shared" si="11"/>
        <v>1,0</v>
      </c>
      <c r="BF48" s="4" t="str">
        <f t="shared" si="12"/>
        <v>1,0</v>
      </c>
      <c r="BG48" s="4" t="str">
        <f t="shared" si="13"/>
        <v>1,0</v>
      </c>
      <c r="BH48" s="4" t="str">
        <f t="shared" si="14"/>
        <v>1,0</v>
      </c>
      <c r="BI48" s="4" t="str">
        <f t="shared" si="15"/>
        <v>1,0</v>
      </c>
      <c r="BJ48" s="4" t="str">
        <f t="shared" si="16"/>
        <v>1,0</v>
      </c>
    </row>
    <row r="49" customHeight="1" spans="1:62">
      <c r="A49" s="49">
        <v>313</v>
      </c>
      <c r="B49" s="40" t="s">
        <v>41</v>
      </c>
      <c r="C49" s="40"/>
      <c r="D49" s="44" t="s">
        <v>364</v>
      </c>
      <c r="E49" s="43">
        <v>2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/>
      <c r="N49">
        <f t="shared" si="18"/>
        <v>4500</v>
      </c>
      <c r="O49" s="35">
        <v>1</v>
      </c>
      <c r="P49" s="24">
        <f>ROUND(INDEX($C$2:$C$5,MATCH($E49,$B$2:$B$5,0))*$F49/SUMIFS($F:$F,$E:$E,$E49,$B:$B,$B49,O:O,1)*IF(B49=$B$10,0.9,1),0)</f>
        <v>0</v>
      </c>
      <c r="Q49" s="24">
        <f t="shared" ref="Q49:U49" si="184">IF($L49&lt;=Q$8,1,0)</f>
        <v>1</v>
      </c>
      <c r="R49" s="24">
        <f>ROUND(INDEX($C$2:$C$5,MATCH($E49,$B$2:$B$5,0))*$I49/SUMIFS($I:$I,$E:$E,$E49,$B:$B,$B49,Q:Q,1)*IF(B49=$B$10,0.9,1),0)</f>
        <v>0</v>
      </c>
      <c r="S49" s="24">
        <f t="shared" si="184"/>
        <v>1</v>
      </c>
      <c r="T49" s="24">
        <f>ROUND(INDEX($C$2:$C$5,MATCH($E49,$B$2:$B$5,0))*$J49/SUMIFS($J:$J,$E:$E,$E49,$B:$B,$B49,S:S,1)*IF(B49=$B$10,0.9,1),0)</f>
        <v>0</v>
      </c>
      <c r="U49" s="24">
        <f t="shared" si="184"/>
        <v>1</v>
      </c>
      <c r="V49" s="24">
        <f>ROUND(INDEX($C$2:$C$5,MATCH($E49,$B$2:$B$5,0))*$K49/SUMIFS($K:$K,$E:$E,$E49,$B:$B,$B49,U:U,1)*IF(B49=$B$10,0.9,1),0)</f>
        <v>0</v>
      </c>
      <c r="W49" s="24">
        <f t="shared" ref="W49:AA49" si="185">IF($L49&lt;=W$8,1,0)</f>
        <v>1</v>
      </c>
      <c r="X49" s="24">
        <f>ROUND(INDEX($C$2:$C$5,MATCH($E49,$B$2:$B$5,0))*$F49/SUMIFS($F:$F,$E:$E,$E49,$B:$B,$B49,W:W,1)*IF(B49=$B$10,0.9,1),0)</f>
        <v>0</v>
      </c>
      <c r="Y49" s="24">
        <f t="shared" si="185"/>
        <v>1</v>
      </c>
      <c r="Z49" s="24">
        <f>ROUND(INDEX($C$2:$C$5,MATCH($E49,$B$2:$B$5,0))*$G49/SUMIFS($G:$G,$E:$E,$E49,$B:$B,$B49,Y:Y,1)*IF(B49=$B$10,0.9,1),0)</f>
        <v>0</v>
      </c>
      <c r="AA49" s="24">
        <f t="shared" si="185"/>
        <v>1</v>
      </c>
      <c r="AB49" s="24">
        <f>ROUND(INDEX($C$2:$C$5,MATCH($E49,$B$2:$B$5,0))*$H49/SUMIFS($H:$H,$E:$E,$E49,$B:$B,$B49,AA:AA,1)*IF(B49=$B$10,0.9,1),0)</f>
        <v>0</v>
      </c>
      <c r="AC49" s="24">
        <f t="shared" ref="AC49:AG49" si="186">IF($L49&lt;=AC$8,1,0)</f>
        <v>1</v>
      </c>
      <c r="AD49" s="24">
        <f>ROUND(INDEX($C$2:$C$5,MATCH($E49,$B$2:$B$5,0))*$F49/SUMIFS($F:$F,$E:$E,$E49,$B:$B,$B49,AC:AC,1)*IF(B49=$B$10,0.9,1),0)</f>
        <v>0</v>
      </c>
      <c r="AE49" s="24">
        <f t="shared" si="186"/>
        <v>1</v>
      </c>
      <c r="AF49" s="24">
        <f>ROUND(INDEX($C$2:$C$5,MATCH($E49,$B$2:$B$5,0))*$G49/SUMIFS($G:$G,$E:$E,$E49,$B:$B,$B49,AE:AE,1)*IF(B49=$B$10,0.9,1),0)</f>
        <v>0</v>
      </c>
      <c r="AG49" s="24">
        <f t="shared" si="186"/>
        <v>1</v>
      </c>
      <c r="AH49" s="24">
        <f>ROUND(INDEX($C$2:$C$5,MATCH($E49,$B$2:$B$5,0))*$H49/SUMIFS($H:$H,$E:$E,$E49,$B:$B,$B49,AG:AG,1)*IF(B49=$B$10,0.9,1),0)</f>
        <v>0</v>
      </c>
      <c r="AI49" s="24">
        <f t="shared" ref="AI49:AM49" si="187">IF($L49&lt;=AI$8,1,0)</f>
        <v>1</v>
      </c>
      <c r="AJ49" s="24">
        <f>ROUND(INDEX($C$2:$C$5,MATCH($E49,$B$2:$B$5,0))*$F49/SUMIFS($F:$F,$E:$E,$E49,$B:$B,$B49,AI:AI,1)*IF(B49=$B$10,0.9,1),0)</f>
        <v>0</v>
      </c>
      <c r="AK49" s="24">
        <f t="shared" si="187"/>
        <v>1</v>
      </c>
      <c r="AL49" s="24">
        <f>ROUND(INDEX($C$2:$C$5,MATCH($E49,$B$2:$B$5,0))*$G49/SUMIFS($G:$G,$E:$E,$E49,$B:$B,$B49,AK:AK,1)*IF(B49=$B$10,0.9,1),0)</f>
        <v>0</v>
      </c>
      <c r="AM49" s="24">
        <f t="shared" si="187"/>
        <v>1</v>
      </c>
      <c r="AN49" s="24">
        <f>ROUND(INDEX($C$2:$C$5,MATCH($E49,$B$2:$B$5,0))*$H49/SUMIFS($H:$H,$E:$E,$E49,$B:$B,$B49,AM:AM,1)*IF(B49=$B$10,0.9,1),0)</f>
        <v>0</v>
      </c>
      <c r="AX49" s="4" t="str">
        <f t="shared" si="4"/>
        <v>1,0</v>
      </c>
      <c r="AY49" s="4" t="str">
        <f t="shared" si="5"/>
        <v>1,0</v>
      </c>
      <c r="AZ49" s="4" t="str">
        <f t="shared" si="6"/>
        <v>1,0</v>
      </c>
      <c r="BA49" s="4" t="str">
        <f t="shared" si="7"/>
        <v>1,0</v>
      </c>
      <c r="BB49" s="4" t="str">
        <f t="shared" si="8"/>
        <v>1,0</v>
      </c>
      <c r="BC49" s="4" t="str">
        <f t="shared" si="9"/>
        <v>1,0</v>
      </c>
      <c r="BD49" s="4" t="str">
        <f t="shared" si="10"/>
        <v>1,0</v>
      </c>
      <c r="BE49" s="4" t="str">
        <f t="shared" si="11"/>
        <v>1,0</v>
      </c>
      <c r="BF49" s="4" t="str">
        <f t="shared" si="12"/>
        <v>1,0</v>
      </c>
      <c r="BG49" s="4" t="str">
        <f t="shared" si="13"/>
        <v>1,0</v>
      </c>
      <c r="BH49" s="4" t="str">
        <f t="shared" si="14"/>
        <v>1,0</v>
      </c>
      <c r="BI49" s="4" t="str">
        <f t="shared" si="15"/>
        <v>1,0</v>
      </c>
      <c r="BJ49" s="4" t="str">
        <f t="shared" si="16"/>
        <v>1,0</v>
      </c>
    </row>
    <row r="50" customHeight="1" spans="1:62">
      <c r="A50" s="35">
        <v>314</v>
      </c>
      <c r="B50" s="40" t="s">
        <v>41</v>
      </c>
      <c r="C50" s="40"/>
      <c r="D50" s="44" t="s">
        <v>365</v>
      </c>
      <c r="E50" s="43">
        <v>2</v>
      </c>
      <c r="F50" s="35">
        <v>1</v>
      </c>
      <c r="G50" s="35">
        <f t="shared" si="17"/>
        <v>1</v>
      </c>
      <c r="H50" s="35">
        <v>1</v>
      </c>
      <c r="I50" s="35">
        <v>1</v>
      </c>
      <c r="J50" s="35">
        <v>1</v>
      </c>
      <c r="K50" s="35">
        <v>1</v>
      </c>
      <c r="L50" s="35">
        <v>1</v>
      </c>
      <c r="M50" s="35"/>
      <c r="N50">
        <f t="shared" si="18"/>
        <v>4500</v>
      </c>
      <c r="O50" s="35">
        <v>1</v>
      </c>
      <c r="P50" s="24">
        <f>ROUND(INDEX($C$2:$C$5,MATCH($E50,$B$2:$B$5,0))*$F50/SUMIFS($F:$F,$E:$E,$E50,$B:$B,$B50,O:O,1)*IF(B50=$B$10,0.9,1),0)</f>
        <v>1125</v>
      </c>
      <c r="Q50" s="24">
        <f t="shared" ref="Q50:U50" si="188">IF($L50&lt;=Q$8,1,0)</f>
        <v>1</v>
      </c>
      <c r="R50" s="24">
        <f>ROUND(INDEX($C$2:$C$5,MATCH($E50,$B$2:$B$5,0))*$I50/SUMIFS($I:$I,$E:$E,$E50,$B:$B,$B50,Q:Q,1)*IF(B50=$B$10,0.9,1),0)</f>
        <v>1500</v>
      </c>
      <c r="S50" s="24">
        <f t="shared" si="188"/>
        <v>1</v>
      </c>
      <c r="T50" s="24">
        <f>ROUND(INDEX($C$2:$C$5,MATCH($E50,$B$2:$B$5,0))*$J50/SUMIFS($J:$J,$E:$E,$E50,$B:$B,$B50,S:S,1)*IF(B50=$B$10,0.9,1),0)</f>
        <v>1500</v>
      </c>
      <c r="U50" s="24">
        <f t="shared" si="188"/>
        <v>1</v>
      </c>
      <c r="V50" s="24">
        <f>ROUND(INDEX($C$2:$C$5,MATCH($E50,$B$2:$B$5,0))*$K50/SUMIFS($K:$K,$E:$E,$E50,$B:$B,$B50,U:U,1)*IF(B50=$B$10,0.9,1),0)</f>
        <v>1500</v>
      </c>
      <c r="W50" s="24">
        <f t="shared" ref="W50:AA50" si="189">IF($L50&lt;=W$8,1,0)</f>
        <v>1</v>
      </c>
      <c r="X50" s="24">
        <f>ROUND(INDEX($C$2:$C$5,MATCH($E50,$B$2:$B$5,0))*$F50/SUMIFS($F:$F,$E:$E,$E50,$B:$B,$B50,W:W,1)*IF(B50=$B$10,0.9,1),0)</f>
        <v>1125</v>
      </c>
      <c r="Y50" s="24">
        <f t="shared" si="189"/>
        <v>1</v>
      </c>
      <c r="Z50" s="24">
        <f>ROUND(INDEX($C$2:$C$5,MATCH($E50,$B$2:$B$5,0))*$G50/SUMIFS($G:$G,$E:$E,$E50,$B:$B,$B50,Y:Y,1)*IF(B50=$B$10,0.9,1),0)</f>
        <v>1125</v>
      </c>
      <c r="AA50" s="24">
        <f t="shared" si="189"/>
        <v>1</v>
      </c>
      <c r="AB50" s="24">
        <f>ROUND(INDEX($C$2:$C$5,MATCH($E50,$B$2:$B$5,0))*$H50/SUMIFS($H:$H,$E:$E,$E50,$B:$B,$B50,AA:AA,1)*IF(B50=$B$10,0.9,1),0)</f>
        <v>1125</v>
      </c>
      <c r="AC50" s="24">
        <f t="shared" ref="AC50:AG50" si="190">IF($L50&lt;=AC$8,1,0)</f>
        <v>1</v>
      </c>
      <c r="AD50" s="24">
        <f>ROUND(INDEX($C$2:$C$5,MATCH($E50,$B$2:$B$5,0))*$F50/SUMIFS($F:$F,$E:$E,$E50,$B:$B,$B50,AC:AC,1)*IF(B50=$B$10,0.9,1),0)</f>
        <v>1125</v>
      </c>
      <c r="AE50" s="24">
        <f t="shared" si="190"/>
        <v>1</v>
      </c>
      <c r="AF50" s="24">
        <f>ROUND(INDEX($C$2:$C$5,MATCH($E50,$B$2:$B$5,0))*$G50/SUMIFS($G:$G,$E:$E,$E50,$B:$B,$B50,AE:AE,1)*IF(B50=$B$10,0.9,1),0)</f>
        <v>1125</v>
      </c>
      <c r="AG50" s="24">
        <f t="shared" si="190"/>
        <v>1</v>
      </c>
      <c r="AH50" s="24">
        <f>ROUND(INDEX($C$2:$C$5,MATCH($E50,$B$2:$B$5,0))*$H50/SUMIFS($H:$H,$E:$E,$E50,$B:$B,$B50,AG:AG,1)*IF(B50=$B$10,0.9,1),0)</f>
        <v>1125</v>
      </c>
      <c r="AI50" s="24">
        <f t="shared" ref="AI50:AM50" si="191">IF($L50&lt;=AI$8,1,0)</f>
        <v>1</v>
      </c>
      <c r="AJ50" s="24">
        <f>ROUND(INDEX($C$2:$C$5,MATCH($E50,$B$2:$B$5,0))*$F50/SUMIFS($F:$F,$E:$E,$E50,$B:$B,$B50,AI:AI,1)*IF(B50=$B$10,0.9,1),0)</f>
        <v>1125</v>
      </c>
      <c r="AK50" s="24">
        <f t="shared" si="191"/>
        <v>1</v>
      </c>
      <c r="AL50" s="24">
        <f>ROUND(INDEX($C$2:$C$5,MATCH($E50,$B$2:$B$5,0))*$G50/SUMIFS($G:$G,$E:$E,$E50,$B:$B,$B50,AK:AK,1)*IF(B50=$B$10,0.9,1),0)</f>
        <v>1125</v>
      </c>
      <c r="AM50" s="24">
        <f t="shared" si="191"/>
        <v>1</v>
      </c>
      <c r="AN50" s="24">
        <f>ROUND(INDEX($C$2:$C$5,MATCH($E50,$B$2:$B$5,0))*$H50/SUMIFS($H:$H,$E:$E,$E50,$B:$B,$B50,AM:AM,1)*IF(B50=$B$10,0.9,1),0)</f>
        <v>1125</v>
      </c>
      <c r="AX50" s="4" t="str">
        <f t="shared" si="4"/>
        <v>1,1125</v>
      </c>
      <c r="AY50" s="4" t="str">
        <f t="shared" si="5"/>
        <v>1,1500</v>
      </c>
      <c r="AZ50" s="4" t="str">
        <f t="shared" si="6"/>
        <v>1,1500</v>
      </c>
      <c r="BA50" s="4" t="str">
        <f t="shared" si="7"/>
        <v>1,1500</v>
      </c>
      <c r="BB50" s="4" t="str">
        <f t="shared" si="8"/>
        <v>1,1125</v>
      </c>
      <c r="BC50" s="4" t="str">
        <f t="shared" si="9"/>
        <v>1,1125</v>
      </c>
      <c r="BD50" s="4" t="str">
        <f t="shared" si="10"/>
        <v>1,1125</v>
      </c>
      <c r="BE50" s="4" t="str">
        <f t="shared" si="11"/>
        <v>1,1125</v>
      </c>
      <c r="BF50" s="4" t="str">
        <f t="shared" si="12"/>
        <v>1,1125</v>
      </c>
      <c r="BG50" s="4" t="str">
        <f t="shared" si="13"/>
        <v>1,1125</v>
      </c>
      <c r="BH50" s="4" t="str">
        <f t="shared" si="14"/>
        <v>1,1125</v>
      </c>
      <c r="BI50" s="4" t="str">
        <f t="shared" si="15"/>
        <v>1,1125</v>
      </c>
      <c r="BJ50" s="4" t="str">
        <f t="shared" si="16"/>
        <v>1,1125</v>
      </c>
    </row>
    <row r="51" customHeight="1" spans="1:62">
      <c r="A51" s="35">
        <v>321</v>
      </c>
      <c r="B51" s="40" t="s">
        <v>41</v>
      </c>
      <c r="C51" s="40"/>
      <c r="D51" s="46" t="s">
        <v>366</v>
      </c>
      <c r="E51" s="45">
        <v>3</v>
      </c>
      <c r="F51" s="35">
        <v>1</v>
      </c>
      <c r="G51" s="35">
        <f t="shared" si="17"/>
        <v>1</v>
      </c>
      <c r="H51" s="35">
        <v>1</v>
      </c>
      <c r="I51" s="35">
        <v>1</v>
      </c>
      <c r="J51" s="35">
        <v>1</v>
      </c>
      <c r="K51" s="35">
        <v>1</v>
      </c>
      <c r="L51" s="35">
        <v>1</v>
      </c>
      <c r="M51" s="35"/>
      <c r="N51">
        <f t="shared" si="18"/>
        <v>1500</v>
      </c>
      <c r="O51" s="35">
        <v>1</v>
      </c>
      <c r="P51" s="24">
        <f>ROUND(INDEX($C$2:$C$5,MATCH($E51,$B$2:$B$5,0))*$F51/SUMIFS($F:$F,$E:$E,$E51,$B:$B,$B51,O:O,1)*IF(B51=$B$10,0.9,1),0)</f>
        <v>250</v>
      </c>
      <c r="Q51" s="24">
        <f t="shared" ref="Q51:U51" si="192">IF($L51&lt;=Q$8,1,0)</f>
        <v>1</v>
      </c>
      <c r="R51" s="24">
        <f>ROUND(INDEX($C$2:$C$5,MATCH($E51,$B$2:$B$5,0))*$I51/SUMIFS($I:$I,$E:$E,$E51,$B:$B,$B51,Q:Q,1)*IF(B51=$B$10,0.9,1),0)</f>
        <v>300</v>
      </c>
      <c r="S51" s="24">
        <f t="shared" si="192"/>
        <v>1</v>
      </c>
      <c r="T51" s="24">
        <f>ROUND(INDEX($C$2:$C$5,MATCH($E51,$B$2:$B$5,0))*$J51/SUMIFS($J:$J,$E:$E,$E51,$B:$B,$B51,S:S,1)*IF(B51=$B$10,0.9,1),0)</f>
        <v>300</v>
      </c>
      <c r="U51" s="24">
        <f t="shared" si="192"/>
        <v>1</v>
      </c>
      <c r="V51" s="24">
        <f>ROUND(INDEX($C$2:$C$5,MATCH($E51,$B$2:$B$5,0))*$K51/SUMIFS($K:$K,$E:$E,$E51,$B:$B,$B51,U:U,1)*IF(B51=$B$10,0.9,1),0)</f>
        <v>300</v>
      </c>
      <c r="W51" s="24">
        <f t="shared" ref="W51:AA51" si="193">IF($L51&lt;=W$8,1,0)</f>
        <v>1</v>
      </c>
      <c r="X51" s="24">
        <f>ROUND(INDEX($C$2:$C$5,MATCH($E51,$B$2:$B$5,0))*$F51/SUMIFS($F:$F,$E:$E,$E51,$B:$B,$B51,W:W,1)*IF(B51=$B$10,0.9,1),0)</f>
        <v>250</v>
      </c>
      <c r="Y51" s="24">
        <f t="shared" si="193"/>
        <v>1</v>
      </c>
      <c r="Z51" s="24">
        <f>ROUND(INDEX($C$2:$C$5,MATCH($E51,$B$2:$B$5,0))*$G51/SUMIFS($G:$G,$E:$E,$E51,$B:$B,$B51,Y:Y,1)*IF(B51=$B$10,0.9,1),0)</f>
        <v>250</v>
      </c>
      <c r="AA51" s="24">
        <f t="shared" si="193"/>
        <v>1</v>
      </c>
      <c r="AB51" s="24">
        <f>ROUND(INDEX($C$2:$C$5,MATCH($E51,$B$2:$B$5,0))*$H51/SUMIFS($H:$H,$E:$E,$E51,$B:$B,$B51,AA:AA,1)*IF(B51=$B$10,0.9,1),0)</f>
        <v>250</v>
      </c>
      <c r="AC51" s="24">
        <f t="shared" ref="AC51:AG51" si="194">IF($L51&lt;=AC$8,1,0)</f>
        <v>1</v>
      </c>
      <c r="AD51" s="24">
        <f>ROUND(INDEX($C$2:$C$5,MATCH($E51,$B$2:$B$5,0))*$F51/SUMIFS($F:$F,$E:$E,$E51,$B:$B,$B51,AC:AC,1)*IF(B51=$B$10,0.9,1),0)</f>
        <v>250</v>
      </c>
      <c r="AE51" s="24">
        <f t="shared" si="194"/>
        <v>1</v>
      </c>
      <c r="AF51" s="24">
        <f>ROUND(INDEX($C$2:$C$5,MATCH($E51,$B$2:$B$5,0))*$G51/SUMIFS($G:$G,$E:$E,$E51,$B:$B,$B51,AE:AE,1)*IF(B51=$B$10,0.9,1),0)</f>
        <v>250</v>
      </c>
      <c r="AG51" s="24">
        <f t="shared" si="194"/>
        <v>1</v>
      </c>
      <c r="AH51" s="24">
        <f>ROUND(INDEX($C$2:$C$5,MATCH($E51,$B$2:$B$5,0))*$H51/SUMIFS($H:$H,$E:$E,$E51,$B:$B,$B51,AG:AG,1)*IF(B51=$B$10,0.9,1),0)</f>
        <v>250</v>
      </c>
      <c r="AI51" s="24">
        <f t="shared" ref="AI51:AM51" si="195">IF($L51&lt;=AI$8,1,0)</f>
        <v>1</v>
      </c>
      <c r="AJ51" s="24">
        <f>ROUND(INDEX($C$2:$C$5,MATCH($E51,$B$2:$B$5,0))*$F51/SUMIFS($F:$F,$E:$E,$E51,$B:$B,$B51,AI:AI,1)*IF(B51=$B$10,0.9,1),0)</f>
        <v>250</v>
      </c>
      <c r="AK51" s="24">
        <f t="shared" si="195"/>
        <v>1</v>
      </c>
      <c r="AL51" s="24">
        <f>ROUND(INDEX($C$2:$C$5,MATCH($E51,$B$2:$B$5,0))*$G51/SUMIFS($G:$G,$E:$E,$E51,$B:$B,$B51,AK:AK,1)*IF(B51=$B$10,0.9,1),0)</f>
        <v>250</v>
      </c>
      <c r="AM51" s="24">
        <f t="shared" si="195"/>
        <v>1</v>
      </c>
      <c r="AN51" s="24">
        <f>ROUND(INDEX($C$2:$C$5,MATCH($E51,$B$2:$B$5,0))*$H51/SUMIFS($H:$H,$E:$E,$E51,$B:$B,$B51,AM:AM,1)*IF(B51=$B$10,0.9,1),0)</f>
        <v>250</v>
      </c>
      <c r="AX51" s="4" t="str">
        <f t="shared" si="4"/>
        <v>1,250</v>
      </c>
      <c r="AY51" s="4" t="str">
        <f t="shared" si="5"/>
        <v>1,300</v>
      </c>
      <c r="AZ51" s="4" t="str">
        <f t="shared" si="6"/>
        <v>1,300</v>
      </c>
      <c r="BA51" s="4" t="str">
        <f t="shared" si="7"/>
        <v>1,300</v>
      </c>
      <c r="BB51" s="4" t="str">
        <f t="shared" si="8"/>
        <v>1,250</v>
      </c>
      <c r="BC51" s="4" t="str">
        <f t="shared" si="9"/>
        <v>1,250</v>
      </c>
      <c r="BD51" s="4" t="str">
        <f t="shared" si="10"/>
        <v>1,250</v>
      </c>
      <c r="BE51" s="4" t="str">
        <f t="shared" si="11"/>
        <v>1,250</v>
      </c>
      <c r="BF51" s="4" t="str">
        <f t="shared" si="12"/>
        <v>1,250</v>
      </c>
      <c r="BG51" s="4" t="str">
        <f t="shared" si="13"/>
        <v>1,250</v>
      </c>
      <c r="BH51" s="4" t="str">
        <f t="shared" si="14"/>
        <v>1,250</v>
      </c>
      <c r="BI51" s="4" t="str">
        <f t="shared" si="15"/>
        <v>1,250</v>
      </c>
      <c r="BJ51" s="4" t="str">
        <f t="shared" si="16"/>
        <v>1,250</v>
      </c>
    </row>
    <row r="52" customHeight="1" spans="1:62">
      <c r="A52" s="35">
        <v>322</v>
      </c>
      <c r="B52" s="40" t="s">
        <v>41</v>
      </c>
      <c r="C52" s="40"/>
      <c r="D52" s="46" t="s">
        <v>367</v>
      </c>
      <c r="E52" s="45">
        <v>3</v>
      </c>
      <c r="F52" s="35">
        <v>1</v>
      </c>
      <c r="G52" s="35">
        <f t="shared" si="17"/>
        <v>1</v>
      </c>
      <c r="H52" s="35">
        <v>1</v>
      </c>
      <c r="I52" s="35">
        <v>1</v>
      </c>
      <c r="J52" s="35">
        <v>1</v>
      </c>
      <c r="K52" s="35">
        <v>1</v>
      </c>
      <c r="L52" s="35">
        <v>1</v>
      </c>
      <c r="M52" s="35"/>
      <c r="N52">
        <f t="shared" si="18"/>
        <v>1500</v>
      </c>
      <c r="O52" s="35">
        <v>1</v>
      </c>
      <c r="P52" s="24">
        <f>ROUND(INDEX($C$2:$C$5,MATCH($E52,$B$2:$B$5,0))*$F52/SUMIFS($F:$F,$E:$E,$E52,$B:$B,$B52,O:O,1)*IF(B52=$B$10,0.9,1),0)</f>
        <v>250</v>
      </c>
      <c r="Q52" s="24">
        <f t="shared" ref="Q52:U52" si="196">IF($L52&lt;=Q$8,1,0)</f>
        <v>1</v>
      </c>
      <c r="R52" s="24">
        <f>ROUND(INDEX($C$2:$C$5,MATCH($E52,$B$2:$B$5,0))*$I52/SUMIFS($I:$I,$E:$E,$E52,$B:$B,$B52,Q:Q,1)*IF(B52=$B$10,0.9,1),0)</f>
        <v>300</v>
      </c>
      <c r="S52" s="24">
        <f t="shared" si="196"/>
        <v>1</v>
      </c>
      <c r="T52" s="24">
        <f>ROUND(INDEX($C$2:$C$5,MATCH($E52,$B$2:$B$5,0))*$J52/SUMIFS($J:$J,$E:$E,$E52,$B:$B,$B52,S:S,1)*IF(B52=$B$10,0.9,1),0)</f>
        <v>300</v>
      </c>
      <c r="U52" s="24">
        <f t="shared" si="196"/>
        <v>1</v>
      </c>
      <c r="V52" s="24">
        <f>ROUND(INDEX($C$2:$C$5,MATCH($E52,$B$2:$B$5,0))*$K52/SUMIFS($K:$K,$E:$E,$E52,$B:$B,$B52,U:U,1)*IF(B52=$B$10,0.9,1),0)</f>
        <v>300</v>
      </c>
      <c r="W52" s="24">
        <f t="shared" ref="W52:AA52" si="197">IF($L52&lt;=W$8,1,0)</f>
        <v>1</v>
      </c>
      <c r="X52" s="24">
        <f>ROUND(INDEX($C$2:$C$5,MATCH($E52,$B$2:$B$5,0))*$F52/SUMIFS($F:$F,$E:$E,$E52,$B:$B,$B52,W:W,1)*IF(B52=$B$10,0.9,1),0)</f>
        <v>250</v>
      </c>
      <c r="Y52" s="24">
        <f t="shared" si="197"/>
        <v>1</v>
      </c>
      <c r="Z52" s="24">
        <f>ROUND(INDEX($C$2:$C$5,MATCH($E52,$B$2:$B$5,0))*$G52/SUMIFS($G:$G,$E:$E,$E52,$B:$B,$B52,Y:Y,1)*IF(B52=$B$10,0.9,1),0)</f>
        <v>250</v>
      </c>
      <c r="AA52" s="24">
        <f t="shared" si="197"/>
        <v>1</v>
      </c>
      <c r="AB52" s="24">
        <f>ROUND(INDEX($C$2:$C$5,MATCH($E52,$B$2:$B$5,0))*$H52/SUMIFS($H:$H,$E:$E,$E52,$B:$B,$B52,AA:AA,1)*IF(B52=$B$10,0.9,1),0)</f>
        <v>250</v>
      </c>
      <c r="AC52" s="24">
        <f t="shared" ref="AC52:AG52" si="198">IF($L52&lt;=AC$8,1,0)</f>
        <v>1</v>
      </c>
      <c r="AD52" s="24">
        <f>ROUND(INDEX($C$2:$C$5,MATCH($E52,$B$2:$B$5,0))*$F52/SUMIFS($F:$F,$E:$E,$E52,$B:$B,$B52,AC:AC,1)*IF(B52=$B$10,0.9,1),0)</f>
        <v>250</v>
      </c>
      <c r="AE52" s="24">
        <f t="shared" si="198"/>
        <v>1</v>
      </c>
      <c r="AF52" s="24">
        <f>ROUND(INDEX($C$2:$C$5,MATCH($E52,$B$2:$B$5,0))*$G52/SUMIFS($G:$G,$E:$E,$E52,$B:$B,$B52,AE:AE,1)*IF(B52=$B$10,0.9,1),0)</f>
        <v>250</v>
      </c>
      <c r="AG52" s="24">
        <f t="shared" si="198"/>
        <v>1</v>
      </c>
      <c r="AH52" s="24">
        <f>ROUND(INDEX($C$2:$C$5,MATCH($E52,$B$2:$B$5,0))*$H52/SUMIFS($H:$H,$E:$E,$E52,$B:$B,$B52,AG:AG,1)*IF(B52=$B$10,0.9,1),0)</f>
        <v>250</v>
      </c>
      <c r="AI52" s="24">
        <f t="shared" ref="AI52:AM52" si="199">IF($L52&lt;=AI$8,1,0)</f>
        <v>1</v>
      </c>
      <c r="AJ52" s="24">
        <f>ROUND(INDEX($C$2:$C$5,MATCH($E52,$B$2:$B$5,0))*$F52/SUMIFS($F:$F,$E:$E,$E52,$B:$B,$B52,AI:AI,1)*IF(B52=$B$10,0.9,1),0)</f>
        <v>250</v>
      </c>
      <c r="AK52" s="24">
        <f t="shared" si="199"/>
        <v>1</v>
      </c>
      <c r="AL52" s="24">
        <f>ROUND(INDEX($C$2:$C$5,MATCH($E52,$B$2:$B$5,0))*$G52/SUMIFS($G:$G,$E:$E,$E52,$B:$B,$B52,AK:AK,1)*IF(B52=$B$10,0.9,1),0)</f>
        <v>250</v>
      </c>
      <c r="AM52" s="24">
        <f t="shared" si="199"/>
        <v>1</v>
      </c>
      <c r="AN52" s="24">
        <f>ROUND(INDEX($C$2:$C$5,MATCH($E52,$B$2:$B$5,0))*$H52/SUMIFS($H:$H,$E:$E,$E52,$B:$B,$B52,AM:AM,1)*IF(B52=$B$10,0.9,1),0)</f>
        <v>250</v>
      </c>
      <c r="AX52" s="4" t="str">
        <f t="shared" si="4"/>
        <v>1,250</v>
      </c>
      <c r="AY52" s="4" t="str">
        <f t="shared" si="5"/>
        <v>1,300</v>
      </c>
      <c r="AZ52" s="4" t="str">
        <f t="shared" si="6"/>
        <v>1,300</v>
      </c>
      <c r="BA52" s="4" t="str">
        <f t="shared" si="7"/>
        <v>1,300</v>
      </c>
      <c r="BB52" s="4" t="str">
        <f t="shared" si="8"/>
        <v>1,250</v>
      </c>
      <c r="BC52" s="4" t="str">
        <f t="shared" si="9"/>
        <v>1,250</v>
      </c>
      <c r="BD52" s="4" t="str">
        <f t="shared" si="10"/>
        <v>1,250</v>
      </c>
      <c r="BE52" s="4" t="str">
        <f t="shared" si="11"/>
        <v>1,250</v>
      </c>
      <c r="BF52" s="4" t="str">
        <f t="shared" si="12"/>
        <v>1,250</v>
      </c>
      <c r="BG52" s="4" t="str">
        <f t="shared" si="13"/>
        <v>1,250</v>
      </c>
      <c r="BH52" s="4" t="str">
        <f t="shared" si="14"/>
        <v>1,250</v>
      </c>
      <c r="BI52" s="4" t="str">
        <f t="shared" si="15"/>
        <v>1,250</v>
      </c>
      <c r="BJ52" s="4" t="str">
        <f t="shared" si="16"/>
        <v>1,250</v>
      </c>
    </row>
    <row r="53" customHeight="1" spans="1:62">
      <c r="A53" s="35">
        <v>323</v>
      </c>
      <c r="B53" s="40" t="s">
        <v>41</v>
      </c>
      <c r="C53" s="40"/>
      <c r="D53" s="46" t="s">
        <v>368</v>
      </c>
      <c r="E53" s="45">
        <v>3</v>
      </c>
      <c r="F53" s="35">
        <v>1</v>
      </c>
      <c r="G53" s="35">
        <f t="shared" si="17"/>
        <v>1</v>
      </c>
      <c r="H53" s="35">
        <v>1</v>
      </c>
      <c r="I53" s="35">
        <v>1</v>
      </c>
      <c r="J53" s="35">
        <v>1</v>
      </c>
      <c r="K53" s="35">
        <v>1</v>
      </c>
      <c r="L53" s="35">
        <v>1</v>
      </c>
      <c r="M53" s="35"/>
      <c r="N53">
        <f t="shared" si="18"/>
        <v>1500</v>
      </c>
      <c r="O53" s="35">
        <v>1</v>
      </c>
      <c r="P53" s="24">
        <f>ROUND(INDEX($C$2:$C$5,MATCH($E53,$B$2:$B$5,0))*$F53/SUMIFS($F:$F,$E:$E,$E53,$B:$B,$B53,O:O,1)*IF(B53=$B$10,0.9,1),0)</f>
        <v>250</v>
      </c>
      <c r="Q53" s="24">
        <f t="shared" ref="Q53:U53" si="200">IF($L53&lt;=Q$8,1,0)</f>
        <v>1</v>
      </c>
      <c r="R53" s="24">
        <f>ROUND(INDEX($C$2:$C$5,MATCH($E53,$B$2:$B$5,0))*$I53/SUMIFS($I:$I,$E:$E,$E53,$B:$B,$B53,Q:Q,1)*IF(B53=$B$10,0.9,1),0)</f>
        <v>300</v>
      </c>
      <c r="S53" s="24">
        <f t="shared" si="200"/>
        <v>1</v>
      </c>
      <c r="T53" s="24">
        <f>ROUND(INDEX($C$2:$C$5,MATCH($E53,$B$2:$B$5,0))*$J53/SUMIFS($J:$J,$E:$E,$E53,$B:$B,$B53,S:S,1)*IF(B53=$B$10,0.9,1),0)</f>
        <v>300</v>
      </c>
      <c r="U53" s="24">
        <f t="shared" si="200"/>
        <v>1</v>
      </c>
      <c r="V53" s="24">
        <f>ROUND(INDEX($C$2:$C$5,MATCH($E53,$B$2:$B$5,0))*$K53/SUMIFS($K:$K,$E:$E,$E53,$B:$B,$B53,U:U,1)*IF(B53=$B$10,0.9,1),0)</f>
        <v>300</v>
      </c>
      <c r="W53" s="24">
        <f t="shared" ref="W53:AA53" si="201">IF($L53&lt;=W$8,1,0)</f>
        <v>1</v>
      </c>
      <c r="X53" s="24">
        <f>ROUND(INDEX($C$2:$C$5,MATCH($E53,$B$2:$B$5,0))*$F53/SUMIFS($F:$F,$E:$E,$E53,$B:$B,$B53,W:W,1)*IF(B53=$B$10,0.9,1),0)</f>
        <v>250</v>
      </c>
      <c r="Y53" s="24">
        <f t="shared" si="201"/>
        <v>1</v>
      </c>
      <c r="Z53" s="24">
        <f>ROUND(INDEX($C$2:$C$5,MATCH($E53,$B$2:$B$5,0))*$G53/SUMIFS($G:$G,$E:$E,$E53,$B:$B,$B53,Y:Y,1)*IF(B53=$B$10,0.9,1),0)</f>
        <v>250</v>
      </c>
      <c r="AA53" s="24">
        <f t="shared" si="201"/>
        <v>1</v>
      </c>
      <c r="AB53" s="24">
        <f>ROUND(INDEX($C$2:$C$5,MATCH($E53,$B$2:$B$5,0))*$H53/SUMIFS($H:$H,$E:$E,$E53,$B:$B,$B53,AA:AA,1)*IF(B53=$B$10,0.9,1),0)</f>
        <v>250</v>
      </c>
      <c r="AC53" s="24">
        <f t="shared" ref="AC53:AG53" si="202">IF($L53&lt;=AC$8,1,0)</f>
        <v>1</v>
      </c>
      <c r="AD53" s="24">
        <f>ROUND(INDEX($C$2:$C$5,MATCH($E53,$B$2:$B$5,0))*$F53/SUMIFS($F:$F,$E:$E,$E53,$B:$B,$B53,AC:AC,1)*IF(B53=$B$10,0.9,1),0)</f>
        <v>250</v>
      </c>
      <c r="AE53" s="24">
        <f t="shared" si="202"/>
        <v>1</v>
      </c>
      <c r="AF53" s="24">
        <f>ROUND(INDEX($C$2:$C$5,MATCH($E53,$B$2:$B$5,0))*$G53/SUMIFS($G:$G,$E:$E,$E53,$B:$B,$B53,AE:AE,1)*IF(B53=$B$10,0.9,1),0)</f>
        <v>250</v>
      </c>
      <c r="AG53" s="24">
        <f t="shared" si="202"/>
        <v>1</v>
      </c>
      <c r="AH53" s="24">
        <f>ROUND(INDEX($C$2:$C$5,MATCH($E53,$B$2:$B$5,0))*$H53/SUMIFS($H:$H,$E:$E,$E53,$B:$B,$B53,AG:AG,1)*IF(B53=$B$10,0.9,1),0)</f>
        <v>250</v>
      </c>
      <c r="AI53" s="24">
        <f t="shared" ref="AI53:AM53" si="203">IF($L53&lt;=AI$8,1,0)</f>
        <v>1</v>
      </c>
      <c r="AJ53" s="24">
        <f>ROUND(INDEX($C$2:$C$5,MATCH($E53,$B$2:$B$5,0))*$F53/SUMIFS($F:$F,$E:$E,$E53,$B:$B,$B53,AI:AI,1)*IF(B53=$B$10,0.9,1),0)</f>
        <v>250</v>
      </c>
      <c r="AK53" s="24">
        <f t="shared" si="203"/>
        <v>1</v>
      </c>
      <c r="AL53" s="24">
        <f>ROUND(INDEX($C$2:$C$5,MATCH($E53,$B$2:$B$5,0))*$G53/SUMIFS($G:$G,$E:$E,$E53,$B:$B,$B53,AK:AK,1)*IF(B53=$B$10,0.9,1),0)</f>
        <v>250</v>
      </c>
      <c r="AM53" s="24">
        <f t="shared" si="203"/>
        <v>1</v>
      </c>
      <c r="AN53" s="24">
        <f>ROUND(INDEX($C$2:$C$5,MATCH($E53,$B$2:$B$5,0))*$H53/SUMIFS($H:$H,$E:$E,$E53,$B:$B,$B53,AM:AM,1)*IF(B53=$B$10,0.9,1),0)</f>
        <v>250</v>
      </c>
      <c r="AX53" s="4" t="str">
        <f t="shared" si="4"/>
        <v>1,250</v>
      </c>
      <c r="AY53" s="4" t="str">
        <f t="shared" si="5"/>
        <v>1,300</v>
      </c>
      <c r="AZ53" s="4" t="str">
        <f t="shared" si="6"/>
        <v>1,300</v>
      </c>
      <c r="BA53" s="4" t="str">
        <f t="shared" si="7"/>
        <v>1,300</v>
      </c>
      <c r="BB53" s="4" t="str">
        <f t="shared" si="8"/>
        <v>1,250</v>
      </c>
      <c r="BC53" s="4" t="str">
        <f t="shared" si="9"/>
        <v>1,250</v>
      </c>
      <c r="BD53" s="4" t="str">
        <f t="shared" si="10"/>
        <v>1,250</v>
      </c>
      <c r="BE53" s="4" t="str">
        <f t="shared" si="11"/>
        <v>1,250</v>
      </c>
      <c r="BF53" s="4" t="str">
        <f t="shared" si="12"/>
        <v>1,250</v>
      </c>
      <c r="BG53" s="4" t="str">
        <f t="shared" si="13"/>
        <v>1,250</v>
      </c>
      <c r="BH53" s="4" t="str">
        <f t="shared" si="14"/>
        <v>1,250</v>
      </c>
      <c r="BI53" s="4" t="str">
        <f t="shared" si="15"/>
        <v>1,250</v>
      </c>
      <c r="BJ53" s="4" t="str">
        <f t="shared" si="16"/>
        <v>1,250</v>
      </c>
    </row>
    <row r="54" customHeight="1" spans="1:62">
      <c r="A54" s="35">
        <v>324</v>
      </c>
      <c r="B54" s="40" t="s">
        <v>41</v>
      </c>
      <c r="C54" s="40"/>
      <c r="D54" s="46" t="s">
        <v>369</v>
      </c>
      <c r="E54" s="45">
        <v>3</v>
      </c>
      <c r="F54" s="35">
        <v>1</v>
      </c>
      <c r="G54" s="35">
        <f t="shared" si="17"/>
        <v>1</v>
      </c>
      <c r="H54" s="35">
        <v>1</v>
      </c>
      <c r="I54" s="35">
        <v>1</v>
      </c>
      <c r="J54" s="35">
        <v>1</v>
      </c>
      <c r="K54" s="35">
        <v>1</v>
      </c>
      <c r="L54" s="35">
        <v>1</v>
      </c>
      <c r="M54" s="35"/>
      <c r="N54">
        <f t="shared" si="18"/>
        <v>1500</v>
      </c>
      <c r="O54" s="35">
        <v>1</v>
      </c>
      <c r="P54" s="24">
        <f>ROUND(INDEX($C$2:$C$5,MATCH($E54,$B$2:$B$5,0))*$F54/SUMIFS($F:$F,$E:$E,$E54,$B:$B,$B54,O:O,1)*IF(B54=$B$10,0.9,1),0)</f>
        <v>250</v>
      </c>
      <c r="Q54" s="24">
        <f t="shared" ref="Q54:U54" si="204">IF($L54&lt;=Q$8,1,0)</f>
        <v>1</v>
      </c>
      <c r="R54" s="24">
        <f>ROUND(INDEX($C$2:$C$5,MATCH($E54,$B$2:$B$5,0))*$I54/SUMIFS($I:$I,$E:$E,$E54,$B:$B,$B54,Q:Q,1)*IF(B54=$B$10,0.9,1),0)</f>
        <v>300</v>
      </c>
      <c r="S54" s="24">
        <f t="shared" si="204"/>
        <v>1</v>
      </c>
      <c r="T54" s="24">
        <f>ROUND(INDEX($C$2:$C$5,MATCH($E54,$B$2:$B$5,0))*$J54/SUMIFS($J:$J,$E:$E,$E54,$B:$B,$B54,S:S,1)*IF(B54=$B$10,0.9,1),0)</f>
        <v>300</v>
      </c>
      <c r="U54" s="24">
        <f t="shared" si="204"/>
        <v>1</v>
      </c>
      <c r="V54" s="24">
        <f>ROUND(INDEX($C$2:$C$5,MATCH($E54,$B$2:$B$5,0))*$K54/SUMIFS($K:$K,$E:$E,$E54,$B:$B,$B54,U:U,1)*IF(B54=$B$10,0.9,1),0)</f>
        <v>300</v>
      </c>
      <c r="W54" s="24">
        <f t="shared" ref="W54:AA54" si="205">IF($L54&lt;=W$8,1,0)</f>
        <v>1</v>
      </c>
      <c r="X54" s="24">
        <f>ROUND(INDEX($C$2:$C$5,MATCH($E54,$B$2:$B$5,0))*$F54/SUMIFS($F:$F,$E:$E,$E54,$B:$B,$B54,W:W,1)*IF(B54=$B$10,0.9,1),0)</f>
        <v>250</v>
      </c>
      <c r="Y54" s="24">
        <f t="shared" si="205"/>
        <v>1</v>
      </c>
      <c r="Z54" s="24">
        <f>ROUND(INDEX($C$2:$C$5,MATCH($E54,$B$2:$B$5,0))*$G54/SUMIFS($G:$G,$E:$E,$E54,$B:$B,$B54,Y:Y,1)*IF(B54=$B$10,0.9,1),0)</f>
        <v>250</v>
      </c>
      <c r="AA54" s="24">
        <f t="shared" si="205"/>
        <v>1</v>
      </c>
      <c r="AB54" s="24">
        <f>ROUND(INDEX($C$2:$C$5,MATCH($E54,$B$2:$B$5,0))*$H54/SUMIFS($H:$H,$E:$E,$E54,$B:$B,$B54,AA:AA,1)*IF(B54=$B$10,0.9,1),0)</f>
        <v>250</v>
      </c>
      <c r="AC54" s="24">
        <f t="shared" ref="AC54:AG54" si="206">IF($L54&lt;=AC$8,1,0)</f>
        <v>1</v>
      </c>
      <c r="AD54" s="24">
        <f>ROUND(INDEX($C$2:$C$5,MATCH($E54,$B$2:$B$5,0))*$F54/SUMIFS($F:$F,$E:$E,$E54,$B:$B,$B54,AC:AC,1)*IF(B54=$B$10,0.9,1),0)</f>
        <v>250</v>
      </c>
      <c r="AE54" s="24">
        <f t="shared" si="206"/>
        <v>1</v>
      </c>
      <c r="AF54" s="24">
        <f>ROUND(INDEX($C$2:$C$5,MATCH($E54,$B$2:$B$5,0))*$G54/SUMIFS($G:$G,$E:$E,$E54,$B:$B,$B54,AE:AE,1)*IF(B54=$B$10,0.9,1),0)</f>
        <v>250</v>
      </c>
      <c r="AG54" s="24">
        <f t="shared" si="206"/>
        <v>1</v>
      </c>
      <c r="AH54" s="24">
        <f>ROUND(INDEX($C$2:$C$5,MATCH($E54,$B$2:$B$5,0))*$H54/SUMIFS($H:$H,$E:$E,$E54,$B:$B,$B54,AG:AG,1)*IF(B54=$B$10,0.9,1),0)</f>
        <v>250</v>
      </c>
      <c r="AI54" s="24">
        <f t="shared" ref="AI54:AM54" si="207">IF($L54&lt;=AI$8,1,0)</f>
        <v>1</v>
      </c>
      <c r="AJ54" s="24">
        <f>ROUND(INDEX($C$2:$C$5,MATCH($E54,$B$2:$B$5,0))*$F54/SUMIFS($F:$F,$E:$E,$E54,$B:$B,$B54,AI:AI,1)*IF(B54=$B$10,0.9,1),0)</f>
        <v>250</v>
      </c>
      <c r="AK54" s="24">
        <f t="shared" si="207"/>
        <v>1</v>
      </c>
      <c r="AL54" s="24">
        <f>ROUND(INDEX($C$2:$C$5,MATCH($E54,$B$2:$B$5,0))*$G54/SUMIFS($G:$G,$E:$E,$E54,$B:$B,$B54,AK:AK,1)*IF(B54=$B$10,0.9,1),0)</f>
        <v>250</v>
      </c>
      <c r="AM54" s="24">
        <f t="shared" si="207"/>
        <v>1</v>
      </c>
      <c r="AN54" s="24">
        <f>ROUND(INDEX($C$2:$C$5,MATCH($E54,$B$2:$B$5,0))*$H54/SUMIFS($H:$H,$E:$E,$E54,$B:$B,$B54,AM:AM,1)*IF(B54=$B$10,0.9,1),0)</f>
        <v>250</v>
      </c>
      <c r="AX54" s="4" t="str">
        <f t="shared" si="4"/>
        <v>1,250</v>
      </c>
      <c r="AY54" s="4" t="str">
        <f t="shared" si="5"/>
        <v>1,300</v>
      </c>
      <c r="AZ54" s="4" t="str">
        <f t="shared" si="6"/>
        <v>1,300</v>
      </c>
      <c r="BA54" s="4" t="str">
        <f t="shared" si="7"/>
        <v>1,300</v>
      </c>
      <c r="BB54" s="4" t="str">
        <f t="shared" si="8"/>
        <v>1,250</v>
      </c>
      <c r="BC54" s="4" t="str">
        <f t="shared" si="9"/>
        <v>1,250</v>
      </c>
      <c r="BD54" s="4" t="str">
        <f t="shared" si="10"/>
        <v>1,250</v>
      </c>
      <c r="BE54" s="4" t="str">
        <f t="shared" si="11"/>
        <v>1,250</v>
      </c>
      <c r="BF54" s="4" t="str">
        <f t="shared" si="12"/>
        <v>1,250</v>
      </c>
      <c r="BG54" s="4" t="str">
        <f t="shared" si="13"/>
        <v>1,250</v>
      </c>
      <c r="BH54" s="4" t="str">
        <f t="shared" si="14"/>
        <v>1,250</v>
      </c>
      <c r="BI54" s="4" t="str">
        <f t="shared" si="15"/>
        <v>1,250</v>
      </c>
      <c r="BJ54" s="4" t="str">
        <f t="shared" si="16"/>
        <v>1,250</v>
      </c>
    </row>
    <row r="55" customHeight="1" spans="1:62">
      <c r="A55" s="35">
        <v>331</v>
      </c>
      <c r="B55" s="40" t="s">
        <v>41</v>
      </c>
      <c r="C55" s="40"/>
      <c r="D55" s="44" t="s">
        <v>375</v>
      </c>
      <c r="E55" s="45">
        <v>2</v>
      </c>
      <c r="F55" s="35">
        <v>1</v>
      </c>
      <c r="G55" s="35">
        <f t="shared" si="17"/>
        <v>1</v>
      </c>
      <c r="H55" s="35">
        <v>1</v>
      </c>
      <c r="I55" s="35">
        <v>1</v>
      </c>
      <c r="J55" s="35">
        <v>1</v>
      </c>
      <c r="K55" s="35">
        <v>1</v>
      </c>
      <c r="L55" s="35">
        <v>2</v>
      </c>
      <c r="M55" s="35"/>
      <c r="N55">
        <f t="shared" si="18"/>
        <v>4500</v>
      </c>
      <c r="O55" s="35">
        <v>1</v>
      </c>
      <c r="P55" s="24">
        <f>ROUND(INDEX($C$2:$C$5,MATCH($E55,$B$2:$B$5,0))*$F55/SUMIFS($F:$F,$E:$E,$E55,$B:$B,$B55,O:O,1)*IF(B55=$B$10,0.9,1),0)</f>
        <v>1125</v>
      </c>
      <c r="Q55" s="24">
        <f t="shared" ref="Q55:U55" si="208">IF($L55&lt;=Q$8,1,0)</f>
        <v>0</v>
      </c>
      <c r="R55" s="24">
        <f>ROUND(INDEX($C$2:$C$5,MATCH($E55,$B$2:$B$5,0))*$I55/SUMIFS($I:$I,$E:$E,$E55,$B:$B,$B55,Q:Q,1)*IF(B55=$B$10,0.9,1),0)</f>
        <v>1500</v>
      </c>
      <c r="S55" s="24">
        <f t="shared" si="208"/>
        <v>0</v>
      </c>
      <c r="T55" s="24">
        <f>ROUND(INDEX($C$2:$C$5,MATCH($E55,$B$2:$B$5,0))*$J55/SUMIFS($J:$J,$E:$E,$E55,$B:$B,$B55,S:S,1)*IF(B55=$B$10,0.9,1),0)</f>
        <v>1500</v>
      </c>
      <c r="U55" s="24">
        <f t="shared" si="208"/>
        <v>0</v>
      </c>
      <c r="V55" s="24">
        <f>ROUND(INDEX($C$2:$C$5,MATCH($E55,$B$2:$B$5,0))*$K55/SUMIFS($K:$K,$E:$E,$E55,$B:$B,$B55,U:U,1)*IF(B55=$B$10,0.9,1),0)</f>
        <v>1500</v>
      </c>
      <c r="W55" s="24">
        <f t="shared" ref="W55:AA55" si="209">IF($L55&lt;=W$8,1,0)</f>
        <v>1</v>
      </c>
      <c r="X55" s="24">
        <f>ROUND(INDEX($C$2:$C$5,MATCH($E55,$B$2:$B$5,0))*$F55/SUMIFS($F:$F,$E:$E,$E55,$B:$B,$B55,W:W,1)*IF(B55=$B$10,0.9,1),0)</f>
        <v>1125</v>
      </c>
      <c r="Y55" s="24">
        <f t="shared" si="209"/>
        <v>1</v>
      </c>
      <c r="Z55" s="24">
        <f>ROUND(INDEX($C$2:$C$5,MATCH($E55,$B$2:$B$5,0))*$G55/SUMIFS($G:$G,$E:$E,$E55,$B:$B,$B55,Y:Y,1)*IF(B55=$B$10,0.9,1),0)</f>
        <v>1125</v>
      </c>
      <c r="AA55" s="24">
        <f t="shared" si="209"/>
        <v>1</v>
      </c>
      <c r="AB55" s="24">
        <f>ROUND(INDEX($C$2:$C$5,MATCH($E55,$B$2:$B$5,0))*$H55/SUMIFS($H:$H,$E:$E,$E55,$B:$B,$B55,AA:AA,1)*IF(B55=$B$10,0.9,1),0)</f>
        <v>1125</v>
      </c>
      <c r="AC55" s="24">
        <f t="shared" ref="AC55:AG55" si="210">IF($L55&lt;=AC$8,1,0)</f>
        <v>1</v>
      </c>
      <c r="AD55" s="24">
        <f>ROUND(INDEX($C$2:$C$5,MATCH($E55,$B$2:$B$5,0))*$F55/SUMIFS($F:$F,$E:$E,$E55,$B:$B,$B55,AC:AC,1)*IF(B55=$B$10,0.9,1),0)</f>
        <v>1125</v>
      </c>
      <c r="AE55" s="24">
        <f t="shared" si="210"/>
        <v>1</v>
      </c>
      <c r="AF55" s="24">
        <f>ROUND(INDEX($C$2:$C$5,MATCH($E55,$B$2:$B$5,0))*$G55/SUMIFS($G:$G,$E:$E,$E55,$B:$B,$B55,AE:AE,1)*IF(B55=$B$10,0.9,1),0)</f>
        <v>1125</v>
      </c>
      <c r="AG55" s="24">
        <f t="shared" si="210"/>
        <v>1</v>
      </c>
      <c r="AH55" s="24">
        <f>ROUND(INDEX($C$2:$C$5,MATCH($E55,$B$2:$B$5,0))*$H55/SUMIFS($H:$H,$E:$E,$E55,$B:$B,$B55,AG:AG,1)*IF(B55=$B$10,0.9,1),0)</f>
        <v>1125</v>
      </c>
      <c r="AI55" s="24">
        <f t="shared" ref="AI55:AM55" si="211">IF($L55&lt;=AI$8,1,0)</f>
        <v>1</v>
      </c>
      <c r="AJ55" s="24">
        <f>ROUND(INDEX($C$2:$C$5,MATCH($E55,$B$2:$B$5,0))*$F55/SUMIFS($F:$F,$E:$E,$E55,$B:$B,$B55,AI:AI,1)*IF(B55=$B$10,0.9,1),0)</f>
        <v>1125</v>
      </c>
      <c r="AK55" s="24">
        <f t="shared" si="211"/>
        <v>1</v>
      </c>
      <c r="AL55" s="24">
        <f>ROUND(INDEX($C$2:$C$5,MATCH($E55,$B$2:$B$5,0))*$G55/SUMIFS($G:$G,$E:$E,$E55,$B:$B,$B55,AK:AK,1)*IF(B55=$B$10,0.9,1),0)</f>
        <v>1125</v>
      </c>
      <c r="AM55" s="24">
        <f t="shared" si="211"/>
        <v>1</v>
      </c>
      <c r="AN55" s="24">
        <f>ROUND(INDEX($C$2:$C$5,MATCH($E55,$B$2:$B$5,0))*$H55/SUMIFS($H:$H,$E:$E,$E55,$B:$B,$B55,AM:AM,1)*IF(B55=$B$10,0.9,1),0)</f>
        <v>1125</v>
      </c>
      <c r="AX55" s="4" t="str">
        <f t="shared" si="4"/>
        <v>1,1125</v>
      </c>
      <c r="AY55" s="4" t="str">
        <f t="shared" si="5"/>
        <v>0,1500</v>
      </c>
      <c r="AZ55" s="4" t="str">
        <f t="shared" si="6"/>
        <v>0,1500</v>
      </c>
      <c r="BA55" s="4" t="str">
        <f t="shared" si="7"/>
        <v>0,1500</v>
      </c>
      <c r="BB55" s="4" t="str">
        <f t="shared" si="8"/>
        <v>1,1125</v>
      </c>
      <c r="BC55" s="4" t="str">
        <f t="shared" si="9"/>
        <v>1,1125</v>
      </c>
      <c r="BD55" s="4" t="str">
        <f t="shared" si="10"/>
        <v>1,1125</v>
      </c>
      <c r="BE55" s="4" t="str">
        <f t="shared" si="11"/>
        <v>1,1125</v>
      </c>
      <c r="BF55" s="4" t="str">
        <f t="shared" si="12"/>
        <v>1,1125</v>
      </c>
      <c r="BG55" s="4" t="str">
        <f t="shared" si="13"/>
        <v>1,1125</v>
      </c>
      <c r="BH55" s="4" t="str">
        <f t="shared" si="14"/>
        <v>1,1125</v>
      </c>
      <c r="BI55" s="4" t="str">
        <f t="shared" si="15"/>
        <v>1,1125</v>
      </c>
      <c r="BJ55" s="4" t="str">
        <f t="shared" si="16"/>
        <v>1,1125</v>
      </c>
    </row>
    <row r="56" customHeight="1" spans="1:62">
      <c r="A56" s="35">
        <v>332</v>
      </c>
      <c r="B56" s="40" t="s">
        <v>41</v>
      </c>
      <c r="C56" s="40" t="s">
        <v>218</v>
      </c>
      <c r="D56" s="44" t="s">
        <v>376</v>
      </c>
      <c r="E56" s="43">
        <v>2</v>
      </c>
      <c r="F56" s="35">
        <v>1</v>
      </c>
      <c r="G56" s="35">
        <f t="shared" si="17"/>
        <v>1</v>
      </c>
      <c r="H56" s="35">
        <v>1</v>
      </c>
      <c r="I56" s="35">
        <v>1</v>
      </c>
      <c r="J56" s="35">
        <v>1</v>
      </c>
      <c r="K56" s="35">
        <v>1</v>
      </c>
      <c r="L56" s="35">
        <v>1</v>
      </c>
      <c r="M56" s="35"/>
      <c r="N56">
        <f t="shared" si="18"/>
        <v>4500</v>
      </c>
      <c r="O56" s="35">
        <v>1</v>
      </c>
      <c r="P56" s="24">
        <f>ROUND(INDEX($C$2:$C$5,MATCH($E56,$B$2:$B$5,0))*$F56/SUMIFS($F:$F,$E:$E,$E56,$B:$B,$B56,O:O,1)*IF(B56=$B$10,0.9,1),0)</f>
        <v>1125</v>
      </c>
      <c r="Q56" s="24">
        <f t="shared" ref="Q56:U56" si="212">IF($L56&lt;=Q$8,1,0)</f>
        <v>1</v>
      </c>
      <c r="R56" s="24">
        <f>ROUND(INDEX($C$2:$C$5,MATCH($E56,$B$2:$B$5,0))*$I56/SUMIFS($I:$I,$E:$E,$E56,$B:$B,$B56,Q:Q,1)*IF(B56=$B$10,0.9,1),0)</f>
        <v>1500</v>
      </c>
      <c r="S56" s="24">
        <f t="shared" si="212"/>
        <v>1</v>
      </c>
      <c r="T56" s="24">
        <f>ROUND(INDEX($C$2:$C$5,MATCH($E56,$B$2:$B$5,0))*$J56/SUMIFS($J:$J,$E:$E,$E56,$B:$B,$B56,S:S,1)*IF(B56=$B$10,0.9,1),0)</f>
        <v>1500</v>
      </c>
      <c r="U56" s="24">
        <f t="shared" si="212"/>
        <v>1</v>
      </c>
      <c r="V56" s="24">
        <f>ROUND(INDEX($C$2:$C$5,MATCH($E56,$B$2:$B$5,0))*$K56/SUMIFS($K:$K,$E:$E,$E56,$B:$B,$B56,U:U,1)*IF(B56=$B$10,0.9,1),0)</f>
        <v>1500</v>
      </c>
      <c r="W56" s="24">
        <f t="shared" ref="W56:AA56" si="213">IF($L56&lt;=W$8,1,0)</f>
        <v>1</v>
      </c>
      <c r="X56" s="24">
        <f>ROUND(INDEX($C$2:$C$5,MATCH($E56,$B$2:$B$5,0))*$F56/SUMIFS($F:$F,$E:$E,$E56,$B:$B,$B56,W:W,1)*IF(B56=$B$10,0.9,1),0)</f>
        <v>1125</v>
      </c>
      <c r="Y56" s="24">
        <f t="shared" si="213"/>
        <v>1</v>
      </c>
      <c r="Z56" s="24">
        <f>ROUND(INDEX($C$2:$C$5,MATCH($E56,$B$2:$B$5,0))*$G56/SUMIFS($G:$G,$E:$E,$E56,$B:$B,$B56,Y:Y,1)*IF(B56=$B$10,0.9,1),0)</f>
        <v>1125</v>
      </c>
      <c r="AA56" s="24">
        <f t="shared" si="213"/>
        <v>1</v>
      </c>
      <c r="AB56" s="24">
        <f>ROUND(INDEX($C$2:$C$5,MATCH($E56,$B$2:$B$5,0))*$H56/SUMIFS($H:$H,$E:$E,$E56,$B:$B,$B56,AA:AA,1)*IF(B56=$B$10,0.9,1),0)</f>
        <v>1125</v>
      </c>
      <c r="AC56" s="24">
        <f t="shared" ref="AC56:AG56" si="214">IF($L56&lt;=AC$8,1,0)</f>
        <v>1</v>
      </c>
      <c r="AD56" s="24">
        <f>ROUND(INDEX($C$2:$C$5,MATCH($E56,$B$2:$B$5,0))*$F56/SUMIFS($F:$F,$E:$E,$E56,$B:$B,$B56,AC:AC,1)*IF(B56=$B$10,0.9,1),0)</f>
        <v>1125</v>
      </c>
      <c r="AE56" s="24">
        <f t="shared" si="214"/>
        <v>1</v>
      </c>
      <c r="AF56" s="24">
        <f>ROUND(INDEX($C$2:$C$5,MATCH($E56,$B$2:$B$5,0))*$G56/SUMIFS($G:$G,$E:$E,$E56,$B:$B,$B56,AE:AE,1)*IF(B56=$B$10,0.9,1),0)</f>
        <v>1125</v>
      </c>
      <c r="AG56" s="24">
        <f t="shared" si="214"/>
        <v>1</v>
      </c>
      <c r="AH56" s="24">
        <f>ROUND(INDEX($C$2:$C$5,MATCH($E56,$B$2:$B$5,0))*$H56/SUMIFS($H:$H,$E:$E,$E56,$B:$B,$B56,AG:AG,1)*IF(B56=$B$10,0.9,1),0)</f>
        <v>1125</v>
      </c>
      <c r="AI56" s="24">
        <f t="shared" ref="AI56:AM56" si="215">IF($L56&lt;=AI$8,1,0)</f>
        <v>1</v>
      </c>
      <c r="AJ56" s="24">
        <f>ROUND(INDEX($C$2:$C$5,MATCH($E56,$B$2:$B$5,0))*$F56/SUMIFS($F:$F,$E:$E,$E56,$B:$B,$B56,AI:AI,1)*IF(B56=$B$10,0.9,1),0)</f>
        <v>1125</v>
      </c>
      <c r="AK56" s="24">
        <f t="shared" si="215"/>
        <v>1</v>
      </c>
      <c r="AL56" s="24">
        <f>ROUND(INDEX($C$2:$C$5,MATCH($E56,$B$2:$B$5,0))*$G56/SUMIFS($G:$G,$E:$E,$E56,$B:$B,$B56,AK:AK,1)*IF(B56=$B$10,0.9,1),0)</f>
        <v>1125</v>
      </c>
      <c r="AM56" s="24">
        <f t="shared" si="215"/>
        <v>1</v>
      </c>
      <c r="AN56" s="24">
        <f>ROUND(INDEX($C$2:$C$5,MATCH($E56,$B$2:$B$5,0))*$H56/SUMIFS($H:$H,$E:$E,$E56,$B:$B,$B56,AM:AM,1)*IF(B56=$B$10,0.9,1),0)</f>
        <v>1125</v>
      </c>
      <c r="AX56" s="4" t="str">
        <f t="shared" si="4"/>
        <v>1,1125</v>
      </c>
      <c r="AY56" s="4" t="str">
        <f t="shared" si="5"/>
        <v>1,1500</v>
      </c>
      <c r="AZ56" s="4" t="str">
        <f t="shared" si="6"/>
        <v>1,1500</v>
      </c>
      <c r="BA56" s="4" t="str">
        <f t="shared" si="7"/>
        <v>1,1500</v>
      </c>
      <c r="BB56" s="4" t="str">
        <f t="shared" si="8"/>
        <v>1,1125</v>
      </c>
      <c r="BC56" s="4" t="str">
        <f t="shared" si="9"/>
        <v>1,1125</v>
      </c>
      <c r="BD56" s="4" t="str">
        <f t="shared" si="10"/>
        <v>1,1125</v>
      </c>
      <c r="BE56" s="4" t="str">
        <f t="shared" si="11"/>
        <v>1,1125</v>
      </c>
      <c r="BF56" s="4" t="str">
        <f t="shared" si="12"/>
        <v>1,1125</v>
      </c>
      <c r="BG56" s="4" t="str">
        <f t="shared" si="13"/>
        <v>1,1125</v>
      </c>
      <c r="BH56" s="4" t="str">
        <f t="shared" si="14"/>
        <v>1,1125</v>
      </c>
      <c r="BI56" s="4" t="str">
        <f t="shared" si="15"/>
        <v>1,1125</v>
      </c>
      <c r="BJ56" s="4" t="str">
        <f t="shared" si="16"/>
        <v>1,1125</v>
      </c>
    </row>
    <row r="57" customHeight="1" spans="1:62">
      <c r="A57" s="35">
        <v>341</v>
      </c>
      <c r="B57" s="40" t="s">
        <v>41</v>
      </c>
      <c r="C57" s="40" t="s">
        <v>218</v>
      </c>
      <c r="D57" s="46" t="s">
        <v>377</v>
      </c>
      <c r="E57" s="45">
        <v>3</v>
      </c>
      <c r="F57" s="35">
        <v>1</v>
      </c>
      <c r="G57" s="35">
        <f t="shared" si="17"/>
        <v>1</v>
      </c>
      <c r="H57" s="35">
        <v>1</v>
      </c>
      <c r="I57" s="35">
        <v>1</v>
      </c>
      <c r="J57" s="35">
        <v>1</v>
      </c>
      <c r="K57" s="35">
        <v>1</v>
      </c>
      <c r="L57" s="35">
        <v>1</v>
      </c>
      <c r="M57" s="35"/>
      <c r="N57">
        <f t="shared" si="18"/>
        <v>1500</v>
      </c>
      <c r="O57" s="35">
        <v>1</v>
      </c>
      <c r="P57" s="24">
        <f>ROUND(INDEX($C$2:$C$5,MATCH($E57,$B$2:$B$5,0))*$F57/SUMIFS($F:$F,$E:$E,$E57,$B:$B,$B57,O:O,1)*IF(B57=$B$10,0.9,1),0)</f>
        <v>250</v>
      </c>
      <c r="Q57" s="24">
        <f t="shared" ref="Q57:U57" si="216">IF($L57&lt;=Q$8,1,0)</f>
        <v>1</v>
      </c>
      <c r="R57" s="24">
        <f>ROUND(INDEX($C$2:$C$5,MATCH($E57,$B$2:$B$5,0))*$I57/SUMIFS($I:$I,$E:$E,$E57,$B:$B,$B57,Q:Q,1)*IF(B57=$B$10,0.9,1),0)</f>
        <v>300</v>
      </c>
      <c r="S57" s="24">
        <f t="shared" si="216"/>
        <v>1</v>
      </c>
      <c r="T57" s="24">
        <f>ROUND(INDEX($C$2:$C$5,MATCH($E57,$B$2:$B$5,0))*$J57/SUMIFS($J:$J,$E:$E,$E57,$B:$B,$B57,S:S,1)*IF(B57=$B$10,0.9,1),0)</f>
        <v>300</v>
      </c>
      <c r="U57" s="24">
        <f t="shared" si="216"/>
        <v>1</v>
      </c>
      <c r="V57" s="24">
        <f>ROUND(INDEX($C$2:$C$5,MATCH($E57,$B$2:$B$5,0))*$K57/SUMIFS($K:$K,$E:$E,$E57,$B:$B,$B57,U:U,1)*IF(B57=$B$10,0.9,1),0)</f>
        <v>300</v>
      </c>
      <c r="W57" s="24">
        <f t="shared" ref="W57:AA57" si="217">IF($L57&lt;=W$8,1,0)</f>
        <v>1</v>
      </c>
      <c r="X57" s="24">
        <f>ROUND(INDEX($C$2:$C$5,MATCH($E57,$B$2:$B$5,0))*$F57/SUMIFS($F:$F,$E:$E,$E57,$B:$B,$B57,W:W,1)*IF(B57=$B$10,0.9,1),0)</f>
        <v>250</v>
      </c>
      <c r="Y57" s="24">
        <f t="shared" si="217"/>
        <v>1</v>
      </c>
      <c r="Z57" s="24">
        <f>ROUND(INDEX($C$2:$C$5,MATCH($E57,$B$2:$B$5,0))*$G57/SUMIFS($G:$G,$E:$E,$E57,$B:$B,$B57,Y:Y,1)*IF(B57=$B$10,0.9,1),0)</f>
        <v>250</v>
      </c>
      <c r="AA57" s="24">
        <f t="shared" si="217"/>
        <v>1</v>
      </c>
      <c r="AB57" s="24">
        <f>ROUND(INDEX($C$2:$C$5,MATCH($E57,$B$2:$B$5,0))*$H57/SUMIFS($H:$H,$E:$E,$E57,$B:$B,$B57,AA:AA,1)*IF(B57=$B$10,0.9,1),0)</f>
        <v>250</v>
      </c>
      <c r="AC57" s="24">
        <f t="shared" ref="AC57:AG57" si="218">IF($L57&lt;=AC$8,1,0)</f>
        <v>1</v>
      </c>
      <c r="AD57" s="24">
        <f>ROUND(INDEX($C$2:$C$5,MATCH($E57,$B$2:$B$5,0))*$F57/SUMIFS($F:$F,$E:$E,$E57,$B:$B,$B57,AC:AC,1)*IF(B57=$B$10,0.9,1),0)</f>
        <v>250</v>
      </c>
      <c r="AE57" s="24">
        <f t="shared" si="218"/>
        <v>1</v>
      </c>
      <c r="AF57" s="24">
        <f>ROUND(INDEX($C$2:$C$5,MATCH($E57,$B$2:$B$5,0))*$G57/SUMIFS($G:$G,$E:$E,$E57,$B:$B,$B57,AE:AE,1)*IF(B57=$B$10,0.9,1),0)</f>
        <v>250</v>
      </c>
      <c r="AG57" s="24">
        <f t="shared" si="218"/>
        <v>1</v>
      </c>
      <c r="AH57" s="24">
        <f>ROUND(INDEX($C$2:$C$5,MATCH($E57,$B$2:$B$5,0))*$H57/SUMIFS($H:$H,$E:$E,$E57,$B:$B,$B57,AG:AG,1)*IF(B57=$B$10,0.9,1),0)</f>
        <v>250</v>
      </c>
      <c r="AI57" s="24">
        <f t="shared" ref="AI57:AM57" si="219">IF($L57&lt;=AI$8,1,0)</f>
        <v>1</v>
      </c>
      <c r="AJ57" s="24">
        <f>ROUND(INDEX($C$2:$C$5,MATCH($E57,$B$2:$B$5,0))*$F57/SUMIFS($F:$F,$E:$E,$E57,$B:$B,$B57,AI:AI,1)*IF(B57=$B$10,0.9,1),0)</f>
        <v>250</v>
      </c>
      <c r="AK57" s="24">
        <f t="shared" si="219"/>
        <v>1</v>
      </c>
      <c r="AL57" s="24">
        <f>ROUND(INDEX($C$2:$C$5,MATCH($E57,$B$2:$B$5,0))*$G57/SUMIFS($G:$G,$E:$E,$E57,$B:$B,$B57,AK:AK,1)*IF(B57=$B$10,0.9,1),0)</f>
        <v>250</v>
      </c>
      <c r="AM57" s="24">
        <f t="shared" si="219"/>
        <v>1</v>
      </c>
      <c r="AN57" s="24">
        <f>ROUND(INDEX($C$2:$C$5,MATCH($E57,$B$2:$B$5,0))*$H57/SUMIFS($H:$H,$E:$E,$E57,$B:$B,$B57,AM:AM,1)*IF(B57=$B$10,0.9,1),0)</f>
        <v>250</v>
      </c>
      <c r="AX57" s="4" t="str">
        <f t="shared" si="4"/>
        <v>1,250</v>
      </c>
      <c r="AY57" s="4" t="str">
        <f t="shared" si="5"/>
        <v>1,300</v>
      </c>
      <c r="AZ57" s="4" t="str">
        <f t="shared" si="6"/>
        <v>1,300</v>
      </c>
      <c r="BA57" s="4" t="str">
        <f t="shared" si="7"/>
        <v>1,300</v>
      </c>
      <c r="BB57" s="4" t="str">
        <f t="shared" si="8"/>
        <v>1,250</v>
      </c>
      <c r="BC57" s="4" t="str">
        <f t="shared" si="9"/>
        <v>1,250</v>
      </c>
      <c r="BD57" s="4" t="str">
        <f t="shared" si="10"/>
        <v>1,250</v>
      </c>
      <c r="BE57" s="4" t="str">
        <f t="shared" si="11"/>
        <v>1,250</v>
      </c>
      <c r="BF57" s="4" t="str">
        <f t="shared" si="12"/>
        <v>1,250</v>
      </c>
      <c r="BG57" s="4" t="str">
        <f t="shared" si="13"/>
        <v>1,250</v>
      </c>
      <c r="BH57" s="4" t="str">
        <f t="shared" si="14"/>
        <v>1,250</v>
      </c>
      <c r="BI57" s="4" t="str">
        <f t="shared" si="15"/>
        <v>1,250</v>
      </c>
      <c r="BJ57" s="4" t="str">
        <f t="shared" si="16"/>
        <v>1,250</v>
      </c>
    </row>
    <row r="58" customHeight="1" spans="1:62">
      <c r="A58" s="35">
        <v>342</v>
      </c>
      <c r="B58" s="40" t="s">
        <v>41</v>
      </c>
      <c r="C58" s="40" t="s">
        <v>218</v>
      </c>
      <c r="D58" s="46" t="s">
        <v>47</v>
      </c>
      <c r="E58" s="45">
        <v>3</v>
      </c>
      <c r="F58" s="35">
        <v>1</v>
      </c>
      <c r="G58" s="35">
        <f t="shared" si="17"/>
        <v>1</v>
      </c>
      <c r="H58" s="35">
        <v>1</v>
      </c>
      <c r="I58" s="35">
        <v>1</v>
      </c>
      <c r="J58" s="35">
        <v>1</v>
      </c>
      <c r="K58" s="35">
        <v>1</v>
      </c>
      <c r="L58" s="35">
        <v>2</v>
      </c>
      <c r="M58" s="35"/>
      <c r="N58">
        <f t="shared" si="18"/>
        <v>1500</v>
      </c>
      <c r="O58" s="35">
        <v>1</v>
      </c>
      <c r="P58" s="24">
        <f>ROUND(INDEX($C$2:$C$5,MATCH($E58,$B$2:$B$5,0))*$F58/SUMIFS($F:$F,$E:$E,$E58,$B:$B,$B58,O:O,1)*IF(B58=$B$10,0.9,1),0)</f>
        <v>250</v>
      </c>
      <c r="Q58" s="24">
        <f t="shared" ref="Q58:U58" si="220">IF($L58&lt;=Q$8,1,0)</f>
        <v>0</v>
      </c>
      <c r="R58" s="24">
        <f>ROUND(INDEX($C$2:$C$5,MATCH($E58,$B$2:$B$5,0))*$I58/SUMIFS($I:$I,$E:$E,$E58,$B:$B,$B58,Q:Q,1)*IF(B58=$B$10,0.9,1),0)</f>
        <v>300</v>
      </c>
      <c r="S58" s="24">
        <f t="shared" si="220"/>
        <v>0</v>
      </c>
      <c r="T58" s="24">
        <f>ROUND(INDEX($C$2:$C$5,MATCH($E58,$B$2:$B$5,0))*$J58/SUMIFS($J:$J,$E:$E,$E58,$B:$B,$B58,S:S,1)*IF(B58=$B$10,0.9,1),0)</f>
        <v>300</v>
      </c>
      <c r="U58" s="24">
        <f t="shared" si="220"/>
        <v>0</v>
      </c>
      <c r="V58" s="24">
        <f>ROUND(INDEX($C$2:$C$5,MATCH($E58,$B$2:$B$5,0))*$K58/SUMIFS($K:$K,$E:$E,$E58,$B:$B,$B58,U:U,1)*IF(B58=$B$10,0.9,1),0)</f>
        <v>300</v>
      </c>
      <c r="W58" s="24">
        <f t="shared" ref="W58:AA58" si="221">IF($L58&lt;=W$8,1,0)</f>
        <v>1</v>
      </c>
      <c r="X58" s="24">
        <f>ROUND(INDEX($C$2:$C$5,MATCH($E58,$B$2:$B$5,0))*$F58/SUMIFS($F:$F,$E:$E,$E58,$B:$B,$B58,W:W,1)*IF(B58=$B$10,0.9,1),0)</f>
        <v>250</v>
      </c>
      <c r="Y58" s="24">
        <f t="shared" si="221"/>
        <v>1</v>
      </c>
      <c r="Z58" s="24">
        <f>ROUND(INDEX($C$2:$C$5,MATCH($E58,$B$2:$B$5,0))*$G58/SUMIFS($G:$G,$E:$E,$E58,$B:$B,$B58,Y:Y,1)*IF(B58=$B$10,0.9,1),0)</f>
        <v>250</v>
      </c>
      <c r="AA58" s="24">
        <f t="shared" si="221"/>
        <v>1</v>
      </c>
      <c r="AB58" s="24">
        <f>ROUND(INDEX($C$2:$C$5,MATCH($E58,$B$2:$B$5,0))*$H58/SUMIFS($H:$H,$E:$E,$E58,$B:$B,$B58,AA:AA,1)*IF(B58=$B$10,0.9,1),0)</f>
        <v>250</v>
      </c>
      <c r="AC58" s="24">
        <f t="shared" ref="AC58:AG58" si="222">IF($L58&lt;=AC$8,1,0)</f>
        <v>1</v>
      </c>
      <c r="AD58" s="24">
        <f>ROUND(INDEX($C$2:$C$5,MATCH($E58,$B$2:$B$5,0))*$F58/SUMIFS($F:$F,$E:$E,$E58,$B:$B,$B58,AC:AC,1)*IF(B58=$B$10,0.9,1),0)</f>
        <v>250</v>
      </c>
      <c r="AE58" s="24">
        <f t="shared" si="222"/>
        <v>1</v>
      </c>
      <c r="AF58" s="24">
        <f>ROUND(INDEX($C$2:$C$5,MATCH($E58,$B$2:$B$5,0))*$G58/SUMIFS($G:$G,$E:$E,$E58,$B:$B,$B58,AE:AE,1)*IF(B58=$B$10,0.9,1),0)</f>
        <v>250</v>
      </c>
      <c r="AG58" s="24">
        <f t="shared" si="222"/>
        <v>1</v>
      </c>
      <c r="AH58" s="24">
        <f>ROUND(INDEX($C$2:$C$5,MATCH($E58,$B$2:$B$5,0))*$H58/SUMIFS($H:$H,$E:$E,$E58,$B:$B,$B58,AG:AG,1)*IF(B58=$B$10,0.9,1),0)</f>
        <v>250</v>
      </c>
      <c r="AI58" s="24">
        <f t="shared" ref="AI58:AM58" si="223">IF($L58&lt;=AI$8,1,0)</f>
        <v>1</v>
      </c>
      <c r="AJ58" s="24">
        <f>ROUND(INDEX($C$2:$C$5,MATCH($E58,$B$2:$B$5,0))*$F58/SUMIFS($F:$F,$E:$E,$E58,$B:$B,$B58,AI:AI,1)*IF(B58=$B$10,0.9,1),0)</f>
        <v>250</v>
      </c>
      <c r="AK58" s="24">
        <f t="shared" si="223"/>
        <v>1</v>
      </c>
      <c r="AL58" s="24">
        <f>ROUND(INDEX($C$2:$C$5,MATCH($E58,$B$2:$B$5,0))*$G58/SUMIFS($G:$G,$E:$E,$E58,$B:$B,$B58,AK:AK,1)*IF(B58=$B$10,0.9,1),0)</f>
        <v>250</v>
      </c>
      <c r="AM58" s="24">
        <f t="shared" si="223"/>
        <v>1</v>
      </c>
      <c r="AN58" s="24">
        <f>ROUND(INDEX($C$2:$C$5,MATCH($E58,$B$2:$B$5,0))*$H58/SUMIFS($H:$H,$E:$E,$E58,$B:$B,$B58,AM:AM,1)*IF(B58=$B$10,0.9,1),0)</f>
        <v>250</v>
      </c>
      <c r="AX58" s="4" t="str">
        <f t="shared" si="4"/>
        <v>1,250</v>
      </c>
      <c r="AY58" s="4" t="str">
        <f t="shared" si="5"/>
        <v>0,300</v>
      </c>
      <c r="AZ58" s="4" t="str">
        <f t="shared" si="6"/>
        <v>0,300</v>
      </c>
      <c r="BA58" s="4" t="str">
        <f t="shared" si="7"/>
        <v>0,300</v>
      </c>
      <c r="BB58" s="4" t="str">
        <f t="shared" si="8"/>
        <v>1,250</v>
      </c>
      <c r="BC58" s="4" t="str">
        <f t="shared" si="9"/>
        <v>1,250</v>
      </c>
      <c r="BD58" s="4" t="str">
        <f t="shared" si="10"/>
        <v>1,250</v>
      </c>
      <c r="BE58" s="4" t="str">
        <f t="shared" si="11"/>
        <v>1,250</v>
      </c>
      <c r="BF58" s="4" t="str">
        <f t="shared" si="12"/>
        <v>1,250</v>
      </c>
      <c r="BG58" s="4" t="str">
        <f t="shared" si="13"/>
        <v>1,250</v>
      </c>
      <c r="BH58" s="4" t="str">
        <f t="shared" si="14"/>
        <v>1,250</v>
      </c>
      <c r="BI58" s="4" t="str">
        <f t="shared" si="15"/>
        <v>1,250</v>
      </c>
      <c r="BJ58" s="4" t="str">
        <f t="shared" si="16"/>
        <v>1,250</v>
      </c>
    </row>
    <row r="59" customHeight="1" spans="1:62">
      <c r="A59" s="35">
        <v>351</v>
      </c>
      <c r="B59" s="40" t="s">
        <v>41</v>
      </c>
      <c r="C59" s="40" t="s">
        <v>218</v>
      </c>
      <c r="D59" s="47" t="s">
        <v>378</v>
      </c>
      <c r="E59" s="50">
        <v>4</v>
      </c>
      <c r="F59" s="35">
        <v>1</v>
      </c>
      <c r="G59" s="35">
        <f t="shared" si="17"/>
        <v>1</v>
      </c>
      <c r="H59" s="35">
        <v>1</v>
      </c>
      <c r="I59" s="35">
        <v>1</v>
      </c>
      <c r="J59" s="35">
        <v>1</v>
      </c>
      <c r="K59" s="35">
        <v>1</v>
      </c>
      <c r="L59" s="35">
        <v>1</v>
      </c>
      <c r="M59" s="35"/>
      <c r="N59">
        <f t="shared" si="18"/>
        <v>500</v>
      </c>
      <c r="O59" s="35">
        <v>1</v>
      </c>
      <c r="P59" s="24">
        <f>ROUND(INDEX($C$2:$C$5,MATCH($E59,$B$2:$B$5,0))*$F59/SUMIFS($F:$F,$E:$E,$E59,$B:$B,$B59,O:O,1)*IF(B59=$B$10,0.9,1),0)</f>
        <v>250</v>
      </c>
      <c r="Q59" s="24">
        <f t="shared" ref="Q59:U59" si="224">IF($L59&lt;=Q$8,1,0)</f>
        <v>1</v>
      </c>
      <c r="R59" s="24">
        <f>ROUND(INDEX($C$2:$C$5,MATCH($E59,$B$2:$B$5,0))*$I59/SUMIFS($I:$I,$E:$E,$E59,$B:$B,$B59,Q:Q,1)*IF(B59=$B$10,0.9,1),0)</f>
        <v>500</v>
      </c>
      <c r="S59" s="24">
        <f t="shared" si="224"/>
        <v>1</v>
      </c>
      <c r="T59" s="24">
        <f>ROUND(INDEX($C$2:$C$5,MATCH($E59,$B$2:$B$5,0))*$J59/SUMIFS($J:$J,$E:$E,$E59,$B:$B,$B59,S:S,1)*IF(B59=$B$10,0.9,1),0)</f>
        <v>500</v>
      </c>
      <c r="U59" s="24">
        <f t="shared" si="224"/>
        <v>1</v>
      </c>
      <c r="V59" s="24">
        <f>ROUND(INDEX($C$2:$C$5,MATCH($E59,$B$2:$B$5,0))*$K59/SUMIFS($K:$K,$E:$E,$E59,$B:$B,$B59,U:U,1)*IF(B59=$B$10,0.9,1),0)</f>
        <v>500</v>
      </c>
      <c r="W59" s="24">
        <f t="shared" ref="W59:AA59" si="225">IF($L59&lt;=W$8,1,0)</f>
        <v>1</v>
      </c>
      <c r="X59" s="24">
        <f>ROUND(INDEX($C$2:$C$5,MATCH($E59,$B$2:$B$5,0))*$F59/SUMIFS($F:$F,$E:$E,$E59,$B:$B,$B59,W:W,1)*IF(B59=$B$10,0.9,1),0)</f>
        <v>500</v>
      </c>
      <c r="Y59" s="24">
        <f t="shared" si="225"/>
        <v>1</v>
      </c>
      <c r="Z59" s="24">
        <f>ROUND(INDEX($C$2:$C$5,MATCH($E59,$B$2:$B$5,0))*$G59/SUMIFS($G:$G,$E:$E,$E59,$B:$B,$B59,Y:Y,1)*IF(B59=$B$10,0.9,1),0)</f>
        <v>500</v>
      </c>
      <c r="AA59" s="24">
        <f t="shared" si="225"/>
        <v>1</v>
      </c>
      <c r="AB59" s="24">
        <f>ROUND(INDEX($C$2:$C$5,MATCH($E59,$B$2:$B$5,0))*$H59/SUMIFS($H:$H,$E:$E,$E59,$B:$B,$B59,AA:AA,1)*IF(B59=$B$10,0.9,1),0)</f>
        <v>500</v>
      </c>
      <c r="AC59" s="24">
        <f t="shared" ref="AC59:AG59" si="226">IF($L59&lt;=AC$8,1,0)</f>
        <v>1</v>
      </c>
      <c r="AD59" s="24">
        <f>ROUND(INDEX($C$2:$C$5,MATCH($E59,$B$2:$B$5,0))*$F59/SUMIFS($F:$F,$E:$E,$E59,$B:$B,$B59,AC:AC,1)*IF(B59=$B$10,0.9,1),0)</f>
        <v>250</v>
      </c>
      <c r="AE59" s="24">
        <f t="shared" si="226"/>
        <v>1</v>
      </c>
      <c r="AF59" s="24">
        <f>ROUND(INDEX($C$2:$C$5,MATCH($E59,$B$2:$B$5,0))*$G59/SUMIFS($G:$G,$E:$E,$E59,$B:$B,$B59,AE:AE,1)*IF(B59=$B$10,0.9,1),0)</f>
        <v>250</v>
      </c>
      <c r="AG59" s="24">
        <f t="shared" si="226"/>
        <v>1</v>
      </c>
      <c r="AH59" s="24">
        <f>ROUND(INDEX($C$2:$C$5,MATCH($E59,$B$2:$B$5,0))*$H59/SUMIFS($H:$H,$E:$E,$E59,$B:$B,$B59,AG:AG,1)*IF(B59=$B$10,0.9,1),0)</f>
        <v>250</v>
      </c>
      <c r="AI59" s="24">
        <f t="shared" ref="AI59:AM59" si="227">IF($L59&lt;=AI$8,1,0)</f>
        <v>1</v>
      </c>
      <c r="AJ59" s="24">
        <f>ROUND(INDEX($C$2:$C$5,MATCH($E59,$B$2:$B$5,0))*$F59/SUMIFS($F:$F,$E:$E,$E59,$B:$B,$B59,AI:AI,1)*IF(B59=$B$10,0.9,1),0)</f>
        <v>250</v>
      </c>
      <c r="AK59" s="24">
        <f t="shared" si="227"/>
        <v>1</v>
      </c>
      <c r="AL59" s="24">
        <f>ROUND(INDEX($C$2:$C$5,MATCH($E59,$B$2:$B$5,0))*$G59/SUMIFS($G:$G,$E:$E,$E59,$B:$B,$B59,AK:AK,1)*IF(B59=$B$10,0.9,1),0)</f>
        <v>250</v>
      </c>
      <c r="AM59" s="24">
        <f t="shared" si="227"/>
        <v>1</v>
      </c>
      <c r="AN59" s="24">
        <f>ROUND(INDEX($C$2:$C$5,MATCH($E59,$B$2:$B$5,0))*$H59/SUMIFS($H:$H,$E:$E,$E59,$B:$B,$B59,AM:AM,1)*IF(B59=$B$10,0.9,1),0)</f>
        <v>250</v>
      </c>
      <c r="AX59" s="4" t="str">
        <f t="shared" si="4"/>
        <v>1,250</v>
      </c>
      <c r="AY59" s="4" t="str">
        <f t="shared" si="5"/>
        <v>1,500</v>
      </c>
      <c r="AZ59" s="4" t="str">
        <f t="shared" si="6"/>
        <v>1,500</v>
      </c>
      <c r="BA59" s="4" t="str">
        <f t="shared" si="7"/>
        <v>1,500</v>
      </c>
      <c r="BB59" s="4" t="str">
        <f t="shared" si="8"/>
        <v>1,500</v>
      </c>
      <c r="BC59" s="4" t="str">
        <f t="shared" si="9"/>
        <v>1,500</v>
      </c>
      <c r="BD59" s="4" t="str">
        <f t="shared" si="10"/>
        <v>1,500</v>
      </c>
      <c r="BE59" s="4" t="str">
        <f t="shared" si="11"/>
        <v>1,250</v>
      </c>
      <c r="BF59" s="4" t="str">
        <f t="shared" si="12"/>
        <v>1,250</v>
      </c>
      <c r="BG59" s="4" t="str">
        <f t="shared" si="13"/>
        <v>1,250</v>
      </c>
      <c r="BH59" s="4" t="str">
        <f t="shared" si="14"/>
        <v>1,250</v>
      </c>
      <c r="BI59" s="4" t="str">
        <f t="shared" si="15"/>
        <v>1,250</v>
      </c>
      <c r="BJ59" s="4" t="str">
        <f t="shared" si="16"/>
        <v>1,250</v>
      </c>
    </row>
    <row r="60" customHeight="1" spans="1:62">
      <c r="A60" s="35">
        <v>352</v>
      </c>
      <c r="B60" s="40" t="s">
        <v>41</v>
      </c>
      <c r="C60" s="40" t="s">
        <v>218</v>
      </c>
      <c r="D60" s="48" t="s">
        <v>380</v>
      </c>
      <c r="E60" s="50">
        <v>4</v>
      </c>
      <c r="F60" s="35">
        <v>1</v>
      </c>
      <c r="G60" s="35">
        <f t="shared" si="17"/>
        <v>1</v>
      </c>
      <c r="H60" s="35">
        <v>1</v>
      </c>
      <c r="I60" s="35">
        <v>1</v>
      </c>
      <c r="J60" s="35">
        <v>1</v>
      </c>
      <c r="K60" s="35">
        <v>1</v>
      </c>
      <c r="L60" s="35">
        <v>3</v>
      </c>
      <c r="M60" s="35"/>
      <c r="N60">
        <f t="shared" si="18"/>
        <v>500</v>
      </c>
      <c r="O60" s="35">
        <v>1</v>
      </c>
      <c r="P60" s="24">
        <f>ROUND(INDEX($C$2:$C$5,MATCH($E60,$B$2:$B$5,0))*$F60/SUMIFS($F:$F,$E:$E,$E60,$B:$B,$B60,O:O,1)*IF(B60=$B$10,0.9,1),0)</f>
        <v>250</v>
      </c>
      <c r="Q60" s="24">
        <f t="shared" ref="Q60:U60" si="228">IF($L60&lt;=Q$8,1,0)</f>
        <v>0</v>
      </c>
      <c r="R60" s="24">
        <f>ROUND(INDEX($C$2:$C$5,MATCH($E60,$B$2:$B$5,0))*$I60/SUMIFS($I:$I,$E:$E,$E60,$B:$B,$B60,Q:Q,1)*IF(B60=$B$10,0.9,1),0)</f>
        <v>500</v>
      </c>
      <c r="S60" s="24">
        <f t="shared" si="228"/>
        <v>0</v>
      </c>
      <c r="T60" s="24">
        <f>ROUND(INDEX($C$2:$C$5,MATCH($E60,$B$2:$B$5,0))*$J60/SUMIFS($J:$J,$E:$E,$E60,$B:$B,$B60,S:S,1)*IF(B60=$B$10,0.9,1),0)</f>
        <v>500</v>
      </c>
      <c r="U60" s="24">
        <f t="shared" si="228"/>
        <v>0</v>
      </c>
      <c r="V60" s="24">
        <f>ROUND(INDEX($C$2:$C$5,MATCH($E60,$B$2:$B$5,0))*$K60/SUMIFS($K:$K,$E:$E,$E60,$B:$B,$B60,U:U,1)*IF(B60=$B$10,0.9,1),0)</f>
        <v>500</v>
      </c>
      <c r="W60" s="24">
        <f t="shared" ref="W60:AA60" si="229">IF($L60&lt;=W$8,1,0)</f>
        <v>0</v>
      </c>
      <c r="X60" s="24">
        <f>ROUND(INDEX($C$2:$C$5,MATCH($E60,$B$2:$B$5,0))*$F60/SUMIFS($F:$F,$E:$E,$E60,$B:$B,$B60,W:W,1)*IF(B60=$B$10,0.9,1),0)</f>
        <v>500</v>
      </c>
      <c r="Y60" s="24">
        <f t="shared" si="229"/>
        <v>0</v>
      </c>
      <c r="Z60" s="24">
        <f>ROUND(INDEX($C$2:$C$5,MATCH($E60,$B$2:$B$5,0))*$G60/SUMIFS($G:$G,$E:$E,$E60,$B:$B,$B60,Y:Y,1)*IF(B60=$B$10,0.9,1),0)</f>
        <v>500</v>
      </c>
      <c r="AA60" s="24">
        <f t="shared" si="229"/>
        <v>0</v>
      </c>
      <c r="AB60" s="24">
        <f>ROUND(INDEX($C$2:$C$5,MATCH($E60,$B$2:$B$5,0))*$H60/SUMIFS($H:$H,$E:$E,$E60,$B:$B,$B60,AA:AA,1)*IF(B60=$B$10,0.9,1),0)</f>
        <v>500</v>
      </c>
      <c r="AC60" s="24">
        <f t="shared" ref="AC60:AG60" si="230">IF($L60&lt;=AC$8,1,0)</f>
        <v>1</v>
      </c>
      <c r="AD60" s="24">
        <f>ROUND(INDEX($C$2:$C$5,MATCH($E60,$B$2:$B$5,0))*$F60/SUMIFS($F:$F,$E:$E,$E60,$B:$B,$B60,AC:AC,1)*IF(B60=$B$10,0.9,1),0)</f>
        <v>250</v>
      </c>
      <c r="AE60" s="24">
        <f t="shared" si="230"/>
        <v>1</v>
      </c>
      <c r="AF60" s="24">
        <f>ROUND(INDEX($C$2:$C$5,MATCH($E60,$B$2:$B$5,0))*$G60/SUMIFS($G:$G,$E:$E,$E60,$B:$B,$B60,AE:AE,1)*IF(B60=$B$10,0.9,1),0)</f>
        <v>250</v>
      </c>
      <c r="AG60" s="24">
        <f t="shared" si="230"/>
        <v>1</v>
      </c>
      <c r="AH60" s="24">
        <f>ROUND(INDEX($C$2:$C$5,MATCH($E60,$B$2:$B$5,0))*$H60/SUMIFS($H:$H,$E:$E,$E60,$B:$B,$B60,AG:AG,1)*IF(B60=$B$10,0.9,1),0)</f>
        <v>250</v>
      </c>
      <c r="AI60" s="24">
        <f t="shared" ref="AI60:AM60" si="231">IF($L60&lt;=AI$8,1,0)</f>
        <v>1</v>
      </c>
      <c r="AJ60" s="24">
        <f>ROUND(INDEX($C$2:$C$5,MATCH($E60,$B$2:$B$5,0))*$F60/SUMIFS($F:$F,$E:$E,$E60,$B:$B,$B60,AI:AI,1)*IF(B60=$B$10,0.9,1),0)</f>
        <v>250</v>
      </c>
      <c r="AK60" s="24">
        <f t="shared" si="231"/>
        <v>1</v>
      </c>
      <c r="AL60" s="24">
        <f>ROUND(INDEX($C$2:$C$5,MATCH($E60,$B$2:$B$5,0))*$G60/SUMIFS($G:$G,$E:$E,$E60,$B:$B,$B60,AK:AK,1)*IF(B60=$B$10,0.9,1),0)</f>
        <v>250</v>
      </c>
      <c r="AM60" s="24">
        <f t="shared" si="231"/>
        <v>1</v>
      </c>
      <c r="AN60" s="24">
        <f>ROUND(INDEX($C$2:$C$5,MATCH($E60,$B$2:$B$5,0))*$H60/SUMIFS($H:$H,$E:$E,$E60,$B:$B,$B60,AM:AM,1)*IF(B60=$B$10,0.9,1),0)</f>
        <v>250</v>
      </c>
      <c r="AX60" s="4" t="str">
        <f t="shared" si="4"/>
        <v>1,250</v>
      </c>
      <c r="AY60" s="4" t="str">
        <f t="shared" si="5"/>
        <v>0,500</v>
      </c>
      <c r="AZ60" s="4" t="str">
        <f t="shared" si="6"/>
        <v>0,500</v>
      </c>
      <c r="BA60" s="4" t="str">
        <f t="shared" si="7"/>
        <v>0,500</v>
      </c>
      <c r="BB60" s="4" t="str">
        <f t="shared" si="8"/>
        <v>0,500</v>
      </c>
      <c r="BC60" s="4" t="str">
        <f t="shared" si="9"/>
        <v>0,500</v>
      </c>
      <c r="BD60" s="4" t="str">
        <f t="shared" si="10"/>
        <v>0,500</v>
      </c>
      <c r="BE60" s="4" t="str">
        <f t="shared" si="11"/>
        <v>1,250</v>
      </c>
      <c r="BF60" s="4" t="str">
        <f t="shared" si="12"/>
        <v>1,250</v>
      </c>
      <c r="BG60" s="4" t="str">
        <f t="shared" si="13"/>
        <v>1,250</v>
      </c>
      <c r="BH60" s="4" t="str">
        <f t="shared" si="14"/>
        <v>1,250</v>
      </c>
      <c r="BI60" s="4" t="str">
        <f t="shared" si="15"/>
        <v>1,250</v>
      </c>
      <c r="BJ60" s="4" t="str">
        <f t="shared" si="16"/>
        <v>1,250</v>
      </c>
    </row>
    <row r="61" customHeight="1" spans="1:62">
      <c r="A61" s="35">
        <v>401</v>
      </c>
      <c r="B61" s="40" t="s">
        <v>50</v>
      </c>
      <c r="C61" s="40" t="s">
        <v>218</v>
      </c>
      <c r="D61" s="41" t="s">
        <v>356</v>
      </c>
      <c r="E61" s="50">
        <v>1</v>
      </c>
      <c r="F61" s="35">
        <v>1</v>
      </c>
      <c r="G61" s="35">
        <f t="shared" si="17"/>
        <v>1</v>
      </c>
      <c r="H61" s="35">
        <v>1</v>
      </c>
      <c r="I61" s="35">
        <v>1</v>
      </c>
      <c r="J61" s="35">
        <v>1</v>
      </c>
      <c r="K61" s="35">
        <v>1</v>
      </c>
      <c r="L61" s="35">
        <v>1</v>
      </c>
      <c r="M61" s="35"/>
      <c r="N61">
        <f t="shared" si="18"/>
        <v>13500</v>
      </c>
      <c r="O61" s="35">
        <v>1</v>
      </c>
      <c r="P61" s="24">
        <f>ROUND(INDEX($C$2:$C$5,MATCH($E61,$B$2:$B$5,0))*$F61/SUMIFS($F:$F,$E:$E,$E61,$B:$B,$B61,O:O,1)*IF(B61=$B$10,0.9,1),0)</f>
        <v>6750</v>
      </c>
      <c r="Q61" s="24">
        <f t="shared" ref="Q61:U61" si="232">IF($L61&lt;=Q$8,1,0)</f>
        <v>1</v>
      </c>
      <c r="R61" s="24">
        <f>ROUND(INDEX($C$2:$C$5,MATCH($E61,$B$2:$B$5,0))*$I61/SUMIFS($I:$I,$E:$E,$E61,$B:$B,$B61,Q:Q,1)*IF(B61=$B$10,0.9,1),0)</f>
        <v>6750</v>
      </c>
      <c r="S61" s="24">
        <f t="shared" si="232"/>
        <v>1</v>
      </c>
      <c r="T61" s="24">
        <f>ROUND(INDEX($C$2:$C$5,MATCH($E61,$B$2:$B$5,0))*$J61/SUMIFS($J:$J,$E:$E,$E61,$B:$B,$B61,S:S,1)*IF(B61=$B$10,0.9,1),0)</f>
        <v>6750</v>
      </c>
      <c r="U61" s="24">
        <f t="shared" si="232"/>
        <v>1</v>
      </c>
      <c r="V61" s="24">
        <f>ROUND(INDEX($C$2:$C$5,MATCH($E61,$B$2:$B$5,0))*$K61/SUMIFS($K:$K,$E:$E,$E61,$B:$B,$B61,U:U,1)*IF(B61=$B$10,0.9,1),0)</f>
        <v>6750</v>
      </c>
      <c r="W61" s="24">
        <f t="shared" ref="W61:AA61" si="233">IF($L61&lt;=W$8,1,0)</f>
        <v>1</v>
      </c>
      <c r="X61" s="24">
        <f>ROUND(INDEX($C$2:$C$5,MATCH($E61,$B$2:$B$5,0))*$F61/SUMIFS($F:$F,$E:$E,$E61,$B:$B,$B61,W:W,1)*IF(B61=$B$10,0.9,1),0)</f>
        <v>6750</v>
      </c>
      <c r="Y61" s="24">
        <f t="shared" si="233"/>
        <v>1</v>
      </c>
      <c r="Z61" s="24">
        <f>ROUND(INDEX($C$2:$C$5,MATCH($E61,$B$2:$B$5,0))*$G61/SUMIFS($G:$G,$E:$E,$E61,$B:$B,$B61,Y:Y,1)*IF(B61=$B$10,0.9,1),0)</f>
        <v>6750</v>
      </c>
      <c r="AA61" s="24">
        <f t="shared" si="233"/>
        <v>1</v>
      </c>
      <c r="AB61" s="24">
        <f>ROUND(INDEX($C$2:$C$5,MATCH($E61,$B$2:$B$5,0))*$H61/SUMIFS($H:$H,$E:$E,$E61,$B:$B,$B61,AA:AA,1)*IF(B61=$B$10,0.9,1),0)</f>
        <v>6750</v>
      </c>
      <c r="AC61" s="24">
        <f t="shared" ref="AC61:AG61" si="234">IF($L61&lt;=AC$8,1,0)</f>
        <v>1</v>
      </c>
      <c r="AD61" s="24">
        <f>ROUND(INDEX($C$2:$C$5,MATCH($E61,$B$2:$B$5,0))*$F61/SUMIFS($F:$F,$E:$E,$E61,$B:$B,$B61,AC:AC,1)*IF(B61=$B$10,0.9,1),0)</f>
        <v>6750</v>
      </c>
      <c r="AE61" s="24">
        <f t="shared" si="234"/>
        <v>1</v>
      </c>
      <c r="AF61" s="24">
        <f>ROUND(INDEX($C$2:$C$5,MATCH($E61,$B$2:$B$5,0))*$G61/SUMIFS($G:$G,$E:$E,$E61,$B:$B,$B61,AE:AE,1)*IF(B61=$B$10,0.9,1),0)</f>
        <v>6750</v>
      </c>
      <c r="AG61" s="24">
        <f t="shared" si="234"/>
        <v>1</v>
      </c>
      <c r="AH61" s="24">
        <f>ROUND(INDEX($C$2:$C$5,MATCH($E61,$B$2:$B$5,0))*$H61/SUMIFS($H:$H,$E:$E,$E61,$B:$B,$B61,AG:AG,1)*IF(B61=$B$10,0.9,1),0)</f>
        <v>6750</v>
      </c>
      <c r="AI61" s="24">
        <f t="shared" ref="AI61:AM61" si="235">IF($L61&lt;=AI$8,1,0)</f>
        <v>1</v>
      </c>
      <c r="AJ61" s="24">
        <f>ROUND(INDEX($C$2:$C$5,MATCH($E61,$B$2:$B$5,0))*$F61/SUMIFS($F:$F,$E:$E,$E61,$B:$B,$B61,AI:AI,1)*IF(B61=$B$10,0.9,1),0)</f>
        <v>6750</v>
      </c>
      <c r="AK61" s="24">
        <f t="shared" si="235"/>
        <v>1</v>
      </c>
      <c r="AL61" s="24">
        <f>ROUND(INDEX($C$2:$C$5,MATCH($E61,$B$2:$B$5,0))*$G61/SUMIFS($G:$G,$E:$E,$E61,$B:$B,$B61,AK:AK,1)*IF(B61=$B$10,0.9,1),0)</f>
        <v>6750</v>
      </c>
      <c r="AM61" s="24">
        <f t="shared" si="235"/>
        <v>1</v>
      </c>
      <c r="AN61" s="24">
        <f>ROUND(INDEX($C$2:$C$5,MATCH($E61,$B$2:$B$5,0))*$H61/SUMIFS($H:$H,$E:$E,$E61,$B:$B,$B61,AM:AM,1)*IF(B61=$B$10,0.9,1),0)</f>
        <v>6750</v>
      </c>
      <c r="AX61" s="4" t="str">
        <f t="shared" si="4"/>
        <v>1,6750</v>
      </c>
      <c r="AY61" s="4" t="str">
        <f t="shared" si="5"/>
        <v>1,6750</v>
      </c>
      <c r="AZ61" s="4" t="str">
        <f t="shared" si="6"/>
        <v>1,6750</v>
      </c>
      <c r="BA61" s="4" t="str">
        <f t="shared" si="7"/>
        <v>1,6750</v>
      </c>
      <c r="BB61" s="4" t="str">
        <f t="shared" si="8"/>
        <v>1,6750</v>
      </c>
      <c r="BC61" s="4" t="str">
        <f t="shared" si="9"/>
        <v>1,6750</v>
      </c>
      <c r="BD61" s="4" t="str">
        <f t="shared" si="10"/>
        <v>1,6750</v>
      </c>
      <c r="BE61" s="4" t="str">
        <f t="shared" si="11"/>
        <v>1,6750</v>
      </c>
      <c r="BF61" s="4" t="str">
        <f t="shared" si="12"/>
        <v>1,6750</v>
      </c>
      <c r="BG61" s="4" t="str">
        <f t="shared" si="13"/>
        <v>1,6750</v>
      </c>
      <c r="BH61" s="4" t="str">
        <f t="shared" si="14"/>
        <v>1,6750</v>
      </c>
      <c r="BI61" s="4" t="str">
        <f t="shared" si="15"/>
        <v>1,6750</v>
      </c>
      <c r="BJ61" s="4" t="str">
        <f t="shared" si="16"/>
        <v>1,6750</v>
      </c>
    </row>
    <row r="62" customHeight="1" spans="1:62">
      <c r="A62" s="49">
        <v>402</v>
      </c>
      <c r="B62" s="40" t="s">
        <v>50</v>
      </c>
      <c r="C62" s="40"/>
      <c r="D62" s="41" t="s">
        <v>357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 t="s">
        <v>136</v>
      </c>
      <c r="N62">
        <f t="shared" si="18"/>
        <v>13500</v>
      </c>
      <c r="O62" s="35">
        <v>1</v>
      </c>
      <c r="P62" s="24">
        <f>ROUND(INDEX($C$2:$C$5,MATCH($E62,$B$2:$B$5,0))*$F62/SUMIFS($F:$F,$E:$E,$E62,$B:$B,$B62,O:O,1)*IF(B62=$B$10,0.9,1),0)</f>
        <v>0</v>
      </c>
      <c r="Q62" s="24">
        <f t="shared" ref="Q62:U62" si="236">IF($L62&lt;=Q$8,1,0)</f>
        <v>1</v>
      </c>
      <c r="R62" s="24">
        <f>ROUND(INDEX($C$2:$C$5,MATCH($E62,$B$2:$B$5,0))*$I62/SUMIFS($I:$I,$E:$E,$E62,$B:$B,$B62,Q:Q,1)*IF(B62=$B$10,0.9,1),0)</f>
        <v>0</v>
      </c>
      <c r="S62" s="24">
        <f t="shared" si="236"/>
        <v>1</v>
      </c>
      <c r="T62" s="24">
        <f>ROUND(INDEX($C$2:$C$5,MATCH($E62,$B$2:$B$5,0))*$J62/SUMIFS($J:$J,$E:$E,$E62,$B:$B,$B62,S:S,1)*IF(B62=$B$10,0.9,1),0)</f>
        <v>0</v>
      </c>
      <c r="U62" s="24">
        <f t="shared" si="236"/>
        <v>1</v>
      </c>
      <c r="V62" s="24">
        <f>ROUND(INDEX($C$2:$C$5,MATCH($E62,$B$2:$B$5,0))*$K62/SUMIFS($K:$K,$E:$E,$E62,$B:$B,$B62,U:U,1)*IF(B62=$B$10,0.9,1),0)</f>
        <v>0</v>
      </c>
      <c r="W62" s="24">
        <f t="shared" ref="W62:AA62" si="237">IF($L62&lt;=W$8,1,0)</f>
        <v>1</v>
      </c>
      <c r="X62" s="24">
        <f>ROUND(INDEX($C$2:$C$5,MATCH($E62,$B$2:$B$5,0))*$F62/SUMIFS($F:$F,$E:$E,$E62,$B:$B,$B62,W:W,1)*IF(B62=$B$10,0.9,1),0)</f>
        <v>0</v>
      </c>
      <c r="Y62" s="24">
        <f t="shared" si="237"/>
        <v>1</v>
      </c>
      <c r="Z62" s="24">
        <f>ROUND(INDEX($C$2:$C$5,MATCH($E62,$B$2:$B$5,0))*$G62/SUMIFS($G:$G,$E:$E,$E62,$B:$B,$B62,Y:Y,1)*IF(B62=$B$10,0.9,1),0)</f>
        <v>0</v>
      </c>
      <c r="AA62" s="24">
        <f t="shared" si="237"/>
        <v>1</v>
      </c>
      <c r="AB62" s="24">
        <f>ROUND(INDEX($C$2:$C$5,MATCH($E62,$B$2:$B$5,0))*$H62/SUMIFS($H:$H,$E:$E,$E62,$B:$B,$B62,AA:AA,1)*IF(B62=$B$10,0.9,1),0)</f>
        <v>0</v>
      </c>
      <c r="AC62" s="24">
        <f t="shared" ref="AC62:AG62" si="238">IF($L62&lt;=AC$8,1,0)</f>
        <v>1</v>
      </c>
      <c r="AD62" s="24">
        <f>ROUND(INDEX($C$2:$C$5,MATCH($E62,$B$2:$B$5,0))*$F62/SUMIFS($F:$F,$E:$E,$E62,$B:$B,$B62,AC:AC,1)*IF(B62=$B$10,0.9,1),0)</f>
        <v>0</v>
      </c>
      <c r="AE62" s="24">
        <f t="shared" si="238"/>
        <v>1</v>
      </c>
      <c r="AF62" s="24">
        <f>ROUND(INDEX($C$2:$C$5,MATCH($E62,$B$2:$B$5,0))*$G62/SUMIFS($G:$G,$E:$E,$E62,$B:$B,$B62,AE:AE,1)*IF(B62=$B$10,0.9,1),0)</f>
        <v>0</v>
      </c>
      <c r="AG62" s="24">
        <f t="shared" si="238"/>
        <v>1</v>
      </c>
      <c r="AH62" s="24">
        <f>ROUND(INDEX($C$2:$C$5,MATCH($E62,$B$2:$B$5,0))*$H62/SUMIFS($H:$H,$E:$E,$E62,$B:$B,$B62,AG:AG,1)*IF(B62=$B$10,0.9,1),0)</f>
        <v>0</v>
      </c>
      <c r="AI62" s="24">
        <f t="shared" ref="AI62:AM62" si="239">IF($L62&lt;=AI$8,1,0)</f>
        <v>1</v>
      </c>
      <c r="AJ62" s="24">
        <f>ROUND(INDEX($C$2:$C$5,MATCH($E62,$B$2:$B$5,0))*$F62/SUMIFS($F:$F,$E:$E,$E62,$B:$B,$B62,AI:AI,1)*IF(B62=$B$10,0.9,1),0)</f>
        <v>0</v>
      </c>
      <c r="AK62" s="24">
        <f t="shared" si="239"/>
        <v>1</v>
      </c>
      <c r="AL62" s="24">
        <f>ROUND(INDEX($C$2:$C$5,MATCH($E62,$B$2:$B$5,0))*$G62/SUMIFS($G:$G,$E:$E,$E62,$B:$B,$B62,AK:AK,1)*IF(B62=$B$10,0.9,1),0)</f>
        <v>0</v>
      </c>
      <c r="AM62" s="24">
        <f t="shared" si="239"/>
        <v>1</v>
      </c>
      <c r="AN62" s="24">
        <f>ROUND(INDEX($C$2:$C$5,MATCH($E62,$B$2:$B$5,0))*$H62/SUMIFS($H:$H,$E:$E,$E62,$B:$B,$B62,AM:AM,1)*IF(B62=$B$10,0.9,1),0)</f>
        <v>0</v>
      </c>
      <c r="AX62" s="4" t="str">
        <f t="shared" si="4"/>
        <v>1,0</v>
      </c>
      <c r="AY62" s="4" t="str">
        <f t="shared" si="5"/>
        <v>1,0</v>
      </c>
      <c r="AZ62" s="4" t="str">
        <f t="shared" si="6"/>
        <v>1,0</v>
      </c>
      <c r="BA62" s="4" t="str">
        <f t="shared" si="7"/>
        <v>1,0</v>
      </c>
      <c r="BB62" s="4" t="str">
        <f t="shared" si="8"/>
        <v>1,0</v>
      </c>
      <c r="BC62" s="4" t="str">
        <f t="shared" si="9"/>
        <v>1,0</v>
      </c>
      <c r="BD62" s="4" t="str">
        <f t="shared" si="10"/>
        <v>1,0</v>
      </c>
      <c r="BE62" s="4" t="str">
        <f t="shared" si="11"/>
        <v>1,0</v>
      </c>
      <c r="BF62" s="4" t="str">
        <f t="shared" si="12"/>
        <v>1,0</v>
      </c>
      <c r="BG62" s="4" t="str">
        <f t="shared" si="13"/>
        <v>1,0</v>
      </c>
      <c r="BH62" s="4" t="str">
        <f t="shared" si="14"/>
        <v>1,0</v>
      </c>
      <c r="BI62" s="4" t="str">
        <f t="shared" si="15"/>
        <v>1,0</v>
      </c>
      <c r="BJ62" s="4" t="str">
        <f t="shared" si="16"/>
        <v>1,0</v>
      </c>
    </row>
    <row r="63" customHeight="1" spans="1:62">
      <c r="A63" s="35">
        <v>403</v>
      </c>
      <c r="B63" s="40" t="s">
        <v>50</v>
      </c>
      <c r="C63" s="40"/>
      <c r="D63" s="41" t="s">
        <v>361</v>
      </c>
      <c r="E63" s="43">
        <v>1</v>
      </c>
      <c r="F63" s="35">
        <v>1</v>
      </c>
      <c r="G63" s="35">
        <f t="shared" si="17"/>
        <v>1</v>
      </c>
      <c r="H63" s="35">
        <v>1</v>
      </c>
      <c r="I63" s="35">
        <v>1</v>
      </c>
      <c r="J63" s="35">
        <v>1</v>
      </c>
      <c r="K63" s="35">
        <v>1</v>
      </c>
      <c r="L63" s="35">
        <v>1</v>
      </c>
      <c r="M63" s="35"/>
      <c r="N63">
        <f t="shared" si="18"/>
        <v>13500</v>
      </c>
      <c r="O63" s="35">
        <v>1</v>
      </c>
      <c r="P63" s="24">
        <f>ROUND(INDEX($C$2:$C$5,MATCH($E63,$B$2:$B$5,0))*$F63/SUMIFS($F:$F,$E:$E,$E63,$B:$B,$B63,O:O,1)*IF(B63=$B$10,0.9,1),0)</f>
        <v>6750</v>
      </c>
      <c r="Q63" s="24">
        <f t="shared" ref="Q63:U63" si="240">IF($L63&lt;=Q$8,1,0)</f>
        <v>1</v>
      </c>
      <c r="R63" s="24">
        <f>ROUND(INDEX($C$2:$C$5,MATCH($E63,$B$2:$B$5,0))*$I63/SUMIFS($I:$I,$E:$E,$E63,$B:$B,$B63,Q:Q,1)*IF(B63=$B$10,0.9,1),0)</f>
        <v>6750</v>
      </c>
      <c r="S63" s="24">
        <f t="shared" si="240"/>
        <v>1</v>
      </c>
      <c r="T63" s="24">
        <f>ROUND(INDEX($C$2:$C$5,MATCH($E63,$B$2:$B$5,0))*$J63/SUMIFS($J:$J,$E:$E,$E63,$B:$B,$B63,S:S,1)*IF(B63=$B$10,0.9,1),0)</f>
        <v>6750</v>
      </c>
      <c r="U63" s="24">
        <f t="shared" si="240"/>
        <v>1</v>
      </c>
      <c r="V63" s="24">
        <f>ROUND(INDEX($C$2:$C$5,MATCH($E63,$B$2:$B$5,0))*$K63/SUMIFS($K:$K,$E:$E,$E63,$B:$B,$B63,U:U,1)*IF(B63=$B$10,0.9,1),0)</f>
        <v>6750</v>
      </c>
      <c r="W63" s="24">
        <f t="shared" ref="W63:AA63" si="241">IF($L63&lt;=W$8,1,0)</f>
        <v>1</v>
      </c>
      <c r="X63" s="24">
        <f>ROUND(INDEX($C$2:$C$5,MATCH($E63,$B$2:$B$5,0))*$F63/SUMIFS($F:$F,$E:$E,$E63,$B:$B,$B63,W:W,1)*IF(B63=$B$10,0.9,1),0)</f>
        <v>6750</v>
      </c>
      <c r="Y63" s="24">
        <f t="shared" si="241"/>
        <v>1</v>
      </c>
      <c r="Z63" s="24">
        <f>ROUND(INDEX($C$2:$C$5,MATCH($E63,$B$2:$B$5,0))*$G63/SUMIFS($G:$G,$E:$E,$E63,$B:$B,$B63,Y:Y,1)*IF(B63=$B$10,0.9,1),0)</f>
        <v>6750</v>
      </c>
      <c r="AA63" s="24">
        <f t="shared" si="241"/>
        <v>1</v>
      </c>
      <c r="AB63" s="24">
        <f>ROUND(INDEX($C$2:$C$5,MATCH($E63,$B$2:$B$5,0))*$H63/SUMIFS($H:$H,$E:$E,$E63,$B:$B,$B63,AA:AA,1)*IF(B63=$B$10,0.9,1),0)</f>
        <v>6750</v>
      </c>
      <c r="AC63" s="24">
        <f t="shared" ref="AC63:AG63" si="242">IF($L63&lt;=AC$8,1,0)</f>
        <v>1</v>
      </c>
      <c r="AD63" s="24">
        <f>ROUND(INDEX($C$2:$C$5,MATCH($E63,$B$2:$B$5,0))*$F63/SUMIFS($F:$F,$E:$E,$E63,$B:$B,$B63,AC:AC,1)*IF(B63=$B$10,0.9,1),0)</f>
        <v>6750</v>
      </c>
      <c r="AE63" s="24">
        <f t="shared" si="242"/>
        <v>1</v>
      </c>
      <c r="AF63" s="24">
        <f>ROUND(INDEX($C$2:$C$5,MATCH($E63,$B$2:$B$5,0))*$G63/SUMIFS($G:$G,$E:$E,$E63,$B:$B,$B63,AE:AE,1)*IF(B63=$B$10,0.9,1),0)</f>
        <v>6750</v>
      </c>
      <c r="AG63" s="24">
        <f t="shared" si="242"/>
        <v>1</v>
      </c>
      <c r="AH63" s="24">
        <f>ROUND(INDEX($C$2:$C$5,MATCH($E63,$B$2:$B$5,0))*$H63/SUMIFS($H:$H,$E:$E,$E63,$B:$B,$B63,AG:AG,1)*IF(B63=$B$10,0.9,1),0)</f>
        <v>6750</v>
      </c>
      <c r="AI63" s="24">
        <f t="shared" ref="AI63:AM63" si="243">IF($L63&lt;=AI$8,1,0)</f>
        <v>1</v>
      </c>
      <c r="AJ63" s="24">
        <f>ROUND(INDEX($C$2:$C$5,MATCH($E63,$B$2:$B$5,0))*$F63/SUMIFS($F:$F,$E:$E,$E63,$B:$B,$B63,AI:AI,1)*IF(B63=$B$10,0.9,1),0)</f>
        <v>6750</v>
      </c>
      <c r="AK63" s="24">
        <f t="shared" si="243"/>
        <v>1</v>
      </c>
      <c r="AL63" s="24">
        <f>ROUND(INDEX($C$2:$C$5,MATCH($E63,$B$2:$B$5,0))*$G63/SUMIFS($G:$G,$E:$E,$E63,$B:$B,$B63,AK:AK,1)*IF(B63=$B$10,0.9,1),0)</f>
        <v>6750</v>
      </c>
      <c r="AM63" s="24">
        <f t="shared" si="243"/>
        <v>1</v>
      </c>
      <c r="AN63" s="24">
        <f>ROUND(INDEX($C$2:$C$5,MATCH($E63,$B$2:$B$5,0))*$H63/SUMIFS($H:$H,$E:$E,$E63,$B:$B,$B63,AM:AM,1)*IF(B63=$B$10,0.9,1),0)</f>
        <v>6750</v>
      </c>
      <c r="AX63" s="4" t="str">
        <f t="shared" si="4"/>
        <v>1,6750</v>
      </c>
      <c r="AY63" s="4" t="str">
        <f t="shared" si="5"/>
        <v>1,6750</v>
      </c>
      <c r="AZ63" s="4" t="str">
        <f t="shared" si="6"/>
        <v>1,6750</v>
      </c>
      <c r="BA63" s="4" t="str">
        <f t="shared" si="7"/>
        <v>1,6750</v>
      </c>
      <c r="BB63" s="4" t="str">
        <f t="shared" si="8"/>
        <v>1,6750</v>
      </c>
      <c r="BC63" s="4" t="str">
        <f t="shared" si="9"/>
        <v>1,6750</v>
      </c>
      <c r="BD63" s="4" t="str">
        <f t="shared" si="10"/>
        <v>1,6750</v>
      </c>
      <c r="BE63" s="4" t="str">
        <f t="shared" si="11"/>
        <v>1,6750</v>
      </c>
      <c r="BF63" s="4" t="str">
        <f t="shared" si="12"/>
        <v>1,6750</v>
      </c>
      <c r="BG63" s="4" t="str">
        <f t="shared" si="13"/>
        <v>1,6750</v>
      </c>
      <c r="BH63" s="4" t="str">
        <f t="shared" si="14"/>
        <v>1,6750</v>
      </c>
      <c r="BI63" s="4" t="str">
        <f t="shared" si="15"/>
        <v>1,6750</v>
      </c>
      <c r="BJ63" s="4" t="str">
        <f t="shared" si="16"/>
        <v>1,6750</v>
      </c>
    </row>
    <row r="64" customHeight="1" spans="1:62">
      <c r="A64" s="35">
        <v>411</v>
      </c>
      <c r="B64" s="40" t="s">
        <v>50</v>
      </c>
      <c r="C64" s="40"/>
      <c r="D64" s="44" t="s">
        <v>362</v>
      </c>
      <c r="E64" s="43">
        <v>2</v>
      </c>
      <c r="F64" s="35">
        <v>1</v>
      </c>
      <c r="G64" s="35">
        <f t="shared" si="17"/>
        <v>1</v>
      </c>
      <c r="H64" s="35">
        <v>1</v>
      </c>
      <c r="I64" s="35">
        <v>1</v>
      </c>
      <c r="J64" s="35">
        <v>1</v>
      </c>
      <c r="K64" s="35">
        <v>1</v>
      </c>
      <c r="L64" s="35">
        <v>1</v>
      </c>
      <c r="M64" s="35" t="s">
        <v>136</v>
      </c>
      <c r="N64">
        <f t="shared" si="18"/>
        <v>4500</v>
      </c>
      <c r="O64" s="35">
        <v>1</v>
      </c>
      <c r="P64" s="24">
        <f>ROUND(INDEX($C$2:$C$5,MATCH($E64,$B$2:$B$5,0))*$F64/SUMIFS($F:$F,$E:$E,$E64,$B:$B,$B64,O:O,1)*IF(B64=$B$10,0.9,1),0)</f>
        <v>1125</v>
      </c>
      <c r="Q64" s="24">
        <f t="shared" ref="Q64:U64" si="244">IF($L64&lt;=Q$8,1,0)</f>
        <v>1</v>
      </c>
      <c r="R64" s="24">
        <f>ROUND(INDEX($C$2:$C$5,MATCH($E64,$B$2:$B$5,0))*$I64/SUMIFS($I:$I,$E:$E,$E64,$B:$B,$B64,Q:Q,1)*IF(B64=$B$10,0.9,1),0)</f>
        <v>1500</v>
      </c>
      <c r="S64" s="24">
        <f t="shared" si="244"/>
        <v>1</v>
      </c>
      <c r="T64" s="24">
        <f>ROUND(INDEX($C$2:$C$5,MATCH($E64,$B$2:$B$5,0))*$J64/SUMIFS($J:$J,$E:$E,$E64,$B:$B,$B64,S:S,1)*IF(B64=$B$10,0.9,1),0)</f>
        <v>1500</v>
      </c>
      <c r="U64" s="24">
        <f t="shared" si="244"/>
        <v>1</v>
      </c>
      <c r="V64" s="24">
        <f>ROUND(INDEX($C$2:$C$5,MATCH($E64,$B$2:$B$5,0))*$K64/SUMIFS($K:$K,$E:$E,$E64,$B:$B,$B64,U:U,1)*IF(B64=$B$10,0.9,1),0)</f>
        <v>1500</v>
      </c>
      <c r="W64" s="24">
        <f t="shared" ref="W64:AA64" si="245">IF($L64&lt;=W$8,1,0)</f>
        <v>1</v>
      </c>
      <c r="X64" s="24">
        <f>ROUND(INDEX($C$2:$C$5,MATCH($E64,$B$2:$B$5,0))*$F64/SUMIFS($F:$F,$E:$E,$E64,$B:$B,$B64,W:W,1)*IF(B64=$B$10,0.9,1),0)</f>
        <v>1125</v>
      </c>
      <c r="Y64" s="24">
        <f t="shared" si="245"/>
        <v>1</v>
      </c>
      <c r="Z64" s="24">
        <f>ROUND(INDEX($C$2:$C$5,MATCH($E64,$B$2:$B$5,0))*$G64/SUMIFS($G:$G,$E:$E,$E64,$B:$B,$B64,Y:Y,1)*IF(B64=$B$10,0.9,1),0)</f>
        <v>1125</v>
      </c>
      <c r="AA64" s="24">
        <f t="shared" si="245"/>
        <v>1</v>
      </c>
      <c r="AB64" s="24">
        <f>ROUND(INDEX($C$2:$C$5,MATCH($E64,$B$2:$B$5,0))*$H64/SUMIFS($H:$H,$E:$E,$E64,$B:$B,$B64,AA:AA,1)*IF(B64=$B$10,0.9,1),0)</f>
        <v>1125</v>
      </c>
      <c r="AC64" s="24">
        <f t="shared" ref="AC64:AG64" si="246">IF($L64&lt;=AC$8,1,0)</f>
        <v>1</v>
      </c>
      <c r="AD64" s="24">
        <f>ROUND(INDEX($C$2:$C$5,MATCH($E64,$B$2:$B$5,0))*$F64/SUMIFS($F:$F,$E:$E,$E64,$B:$B,$B64,AC:AC,1)*IF(B64=$B$10,0.9,1),0)</f>
        <v>1125</v>
      </c>
      <c r="AE64" s="24">
        <f t="shared" si="246"/>
        <v>1</v>
      </c>
      <c r="AF64" s="24">
        <f>ROUND(INDEX($C$2:$C$5,MATCH($E64,$B$2:$B$5,0))*$G64/SUMIFS($G:$G,$E:$E,$E64,$B:$B,$B64,AE:AE,1)*IF(B64=$B$10,0.9,1),0)</f>
        <v>1125</v>
      </c>
      <c r="AG64" s="24">
        <f t="shared" si="246"/>
        <v>1</v>
      </c>
      <c r="AH64" s="24">
        <f>ROUND(INDEX($C$2:$C$5,MATCH($E64,$B$2:$B$5,0))*$H64/SUMIFS($H:$H,$E:$E,$E64,$B:$B,$B64,AG:AG,1)*IF(B64=$B$10,0.9,1),0)</f>
        <v>1125</v>
      </c>
      <c r="AI64" s="24">
        <f t="shared" ref="AI64:AM64" si="247">IF($L64&lt;=AI$8,1,0)</f>
        <v>1</v>
      </c>
      <c r="AJ64" s="24">
        <f>ROUND(INDEX($C$2:$C$5,MATCH($E64,$B$2:$B$5,0))*$F64/SUMIFS($F:$F,$E:$E,$E64,$B:$B,$B64,AI:AI,1)*IF(B64=$B$10,0.9,1),0)</f>
        <v>1125</v>
      </c>
      <c r="AK64" s="24">
        <f t="shared" si="247"/>
        <v>1</v>
      </c>
      <c r="AL64" s="24">
        <f>ROUND(INDEX($C$2:$C$5,MATCH($E64,$B$2:$B$5,0))*$G64/SUMIFS($G:$G,$E:$E,$E64,$B:$B,$B64,AK:AK,1)*IF(B64=$B$10,0.9,1),0)</f>
        <v>1125</v>
      </c>
      <c r="AM64" s="24">
        <f t="shared" si="247"/>
        <v>1</v>
      </c>
      <c r="AN64" s="24">
        <f>ROUND(INDEX($C$2:$C$5,MATCH($E64,$B$2:$B$5,0))*$H64/SUMIFS($H:$H,$E:$E,$E64,$B:$B,$B64,AM:AM,1)*IF(B64=$B$10,0.9,1),0)</f>
        <v>1125</v>
      </c>
      <c r="AX64" s="4" t="str">
        <f t="shared" si="4"/>
        <v>1,1125</v>
      </c>
      <c r="AY64" s="4" t="str">
        <f t="shared" si="5"/>
        <v>1,1500</v>
      </c>
      <c r="AZ64" s="4" t="str">
        <f t="shared" si="6"/>
        <v>1,1500</v>
      </c>
      <c r="BA64" s="4" t="str">
        <f t="shared" si="7"/>
        <v>1,1500</v>
      </c>
      <c r="BB64" s="4" t="str">
        <f t="shared" si="8"/>
        <v>1,1125</v>
      </c>
      <c r="BC64" s="4" t="str">
        <f t="shared" si="9"/>
        <v>1,1125</v>
      </c>
      <c r="BD64" s="4" t="str">
        <f t="shared" si="10"/>
        <v>1,1125</v>
      </c>
      <c r="BE64" s="4" t="str">
        <f t="shared" si="11"/>
        <v>1,1125</v>
      </c>
      <c r="BF64" s="4" t="str">
        <f t="shared" si="12"/>
        <v>1,1125</v>
      </c>
      <c r="BG64" s="4" t="str">
        <f t="shared" si="13"/>
        <v>1,1125</v>
      </c>
      <c r="BH64" s="4" t="str">
        <f t="shared" si="14"/>
        <v>1,1125</v>
      </c>
      <c r="BI64" s="4" t="str">
        <f t="shared" si="15"/>
        <v>1,1125</v>
      </c>
      <c r="BJ64" s="4" t="str">
        <f t="shared" si="16"/>
        <v>1,1125</v>
      </c>
    </row>
    <row r="65" customHeight="1" spans="1:62">
      <c r="A65" s="49">
        <v>412</v>
      </c>
      <c r="B65" s="40" t="s">
        <v>50</v>
      </c>
      <c r="C65" s="40"/>
      <c r="D65" s="44" t="s">
        <v>363</v>
      </c>
      <c r="E65" s="43">
        <v>2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/>
      <c r="N65">
        <f t="shared" si="18"/>
        <v>4500</v>
      </c>
      <c r="O65" s="35">
        <v>1</v>
      </c>
      <c r="P65" s="24">
        <f>ROUND(INDEX($C$2:$C$5,MATCH($E65,$B$2:$B$5,0))*$F65/SUMIFS($F:$F,$E:$E,$E65,$B:$B,$B65,O:O,1)*IF(B65=$B$10,0.9,1),0)</f>
        <v>0</v>
      </c>
      <c r="Q65" s="24">
        <f t="shared" ref="Q65:U65" si="248">IF($L65&lt;=Q$8,1,0)</f>
        <v>1</v>
      </c>
      <c r="R65" s="24">
        <f>ROUND(INDEX($C$2:$C$5,MATCH($E65,$B$2:$B$5,0))*$I65/SUMIFS($I:$I,$E:$E,$E65,$B:$B,$B65,Q:Q,1)*IF(B65=$B$10,0.9,1),0)</f>
        <v>0</v>
      </c>
      <c r="S65" s="24">
        <f t="shared" si="248"/>
        <v>1</v>
      </c>
      <c r="T65" s="24">
        <f>ROUND(INDEX($C$2:$C$5,MATCH($E65,$B$2:$B$5,0))*$J65/SUMIFS($J:$J,$E:$E,$E65,$B:$B,$B65,S:S,1)*IF(B65=$B$10,0.9,1),0)</f>
        <v>0</v>
      </c>
      <c r="U65" s="24">
        <f t="shared" si="248"/>
        <v>1</v>
      </c>
      <c r="V65" s="24">
        <f>ROUND(INDEX($C$2:$C$5,MATCH($E65,$B$2:$B$5,0))*$K65/SUMIFS($K:$K,$E:$E,$E65,$B:$B,$B65,U:U,1)*IF(B65=$B$10,0.9,1),0)</f>
        <v>0</v>
      </c>
      <c r="W65" s="24">
        <f t="shared" ref="W65:AA65" si="249">IF($L65&lt;=W$8,1,0)</f>
        <v>1</v>
      </c>
      <c r="X65" s="24">
        <f>ROUND(INDEX($C$2:$C$5,MATCH($E65,$B$2:$B$5,0))*$F65/SUMIFS($F:$F,$E:$E,$E65,$B:$B,$B65,W:W,1)*IF(B65=$B$10,0.9,1),0)</f>
        <v>0</v>
      </c>
      <c r="Y65" s="24">
        <f t="shared" si="249"/>
        <v>1</v>
      </c>
      <c r="Z65" s="24">
        <f>ROUND(INDEX($C$2:$C$5,MATCH($E65,$B$2:$B$5,0))*$G65/SUMIFS($G:$G,$E:$E,$E65,$B:$B,$B65,Y:Y,1)*IF(B65=$B$10,0.9,1),0)</f>
        <v>0</v>
      </c>
      <c r="AA65" s="24">
        <f t="shared" si="249"/>
        <v>1</v>
      </c>
      <c r="AB65" s="24">
        <f>ROUND(INDEX($C$2:$C$5,MATCH($E65,$B$2:$B$5,0))*$H65/SUMIFS($H:$H,$E:$E,$E65,$B:$B,$B65,AA:AA,1)*IF(B65=$B$10,0.9,1),0)</f>
        <v>0</v>
      </c>
      <c r="AC65" s="24">
        <f t="shared" ref="AC65:AG65" si="250">IF($L65&lt;=AC$8,1,0)</f>
        <v>1</v>
      </c>
      <c r="AD65" s="24">
        <f>ROUND(INDEX($C$2:$C$5,MATCH($E65,$B$2:$B$5,0))*$F65/SUMIFS($F:$F,$E:$E,$E65,$B:$B,$B65,AC:AC,1)*IF(B65=$B$10,0.9,1),0)</f>
        <v>0</v>
      </c>
      <c r="AE65" s="24">
        <f t="shared" si="250"/>
        <v>1</v>
      </c>
      <c r="AF65" s="24">
        <f>ROUND(INDEX($C$2:$C$5,MATCH($E65,$B$2:$B$5,0))*$G65/SUMIFS($G:$G,$E:$E,$E65,$B:$B,$B65,AE:AE,1)*IF(B65=$B$10,0.9,1),0)</f>
        <v>0</v>
      </c>
      <c r="AG65" s="24">
        <f t="shared" si="250"/>
        <v>1</v>
      </c>
      <c r="AH65" s="24">
        <f>ROUND(INDEX($C$2:$C$5,MATCH($E65,$B$2:$B$5,0))*$H65/SUMIFS($H:$H,$E:$E,$E65,$B:$B,$B65,AG:AG,1)*IF(B65=$B$10,0.9,1),0)</f>
        <v>0</v>
      </c>
      <c r="AI65" s="24">
        <f t="shared" ref="AI65:AM65" si="251">IF($L65&lt;=AI$8,1,0)</f>
        <v>1</v>
      </c>
      <c r="AJ65" s="24">
        <f>ROUND(INDEX($C$2:$C$5,MATCH($E65,$B$2:$B$5,0))*$F65/SUMIFS($F:$F,$E:$E,$E65,$B:$B,$B65,AI:AI,1)*IF(B65=$B$10,0.9,1),0)</f>
        <v>0</v>
      </c>
      <c r="AK65" s="24">
        <f t="shared" si="251"/>
        <v>1</v>
      </c>
      <c r="AL65" s="24">
        <f>ROUND(INDEX($C$2:$C$5,MATCH($E65,$B$2:$B$5,0))*$G65/SUMIFS($G:$G,$E:$E,$E65,$B:$B,$B65,AK:AK,1)*IF(B65=$B$10,0.9,1),0)</f>
        <v>0</v>
      </c>
      <c r="AM65" s="24">
        <f t="shared" si="251"/>
        <v>1</v>
      </c>
      <c r="AN65" s="24">
        <f>ROUND(INDEX($C$2:$C$5,MATCH($E65,$B$2:$B$5,0))*$H65/SUMIFS($H:$H,$E:$E,$E65,$B:$B,$B65,AM:AM,1)*IF(B65=$B$10,0.9,1),0)</f>
        <v>0</v>
      </c>
      <c r="AX65" s="4" t="str">
        <f t="shared" si="4"/>
        <v>1,0</v>
      </c>
      <c r="AY65" s="4" t="str">
        <f t="shared" si="5"/>
        <v>1,0</v>
      </c>
      <c r="AZ65" s="4" t="str">
        <f t="shared" si="6"/>
        <v>1,0</v>
      </c>
      <c r="BA65" s="4" t="str">
        <f t="shared" si="7"/>
        <v>1,0</v>
      </c>
      <c r="BB65" s="4" t="str">
        <f t="shared" si="8"/>
        <v>1,0</v>
      </c>
      <c r="BC65" s="4" t="str">
        <f t="shared" si="9"/>
        <v>1,0</v>
      </c>
      <c r="BD65" s="4" t="str">
        <f t="shared" si="10"/>
        <v>1,0</v>
      </c>
      <c r="BE65" s="4" t="str">
        <f t="shared" si="11"/>
        <v>1,0</v>
      </c>
      <c r="BF65" s="4" t="str">
        <f t="shared" si="12"/>
        <v>1,0</v>
      </c>
      <c r="BG65" s="4" t="str">
        <f t="shared" si="13"/>
        <v>1,0</v>
      </c>
      <c r="BH65" s="4" t="str">
        <f t="shared" si="14"/>
        <v>1,0</v>
      </c>
      <c r="BI65" s="4" t="str">
        <f t="shared" si="15"/>
        <v>1,0</v>
      </c>
      <c r="BJ65" s="4" t="str">
        <f t="shared" si="16"/>
        <v>1,0</v>
      </c>
    </row>
    <row r="66" customHeight="1" spans="1:62">
      <c r="A66" s="49">
        <v>413</v>
      </c>
      <c r="B66" s="40" t="s">
        <v>50</v>
      </c>
      <c r="C66" s="40"/>
      <c r="D66" s="44" t="s">
        <v>364</v>
      </c>
      <c r="E66" s="45">
        <v>2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/>
      <c r="N66">
        <f t="shared" si="18"/>
        <v>4500</v>
      </c>
      <c r="O66" s="35">
        <v>1</v>
      </c>
      <c r="P66" s="24">
        <f>ROUND(INDEX($C$2:$C$5,MATCH($E66,$B$2:$B$5,0))*$F66/SUMIFS($F:$F,$E:$E,$E66,$B:$B,$B66,O:O,1)*IF(B66=$B$10,0.9,1),0)</f>
        <v>0</v>
      </c>
      <c r="Q66" s="24">
        <f t="shared" ref="Q66:U66" si="252">IF($L66&lt;=Q$8,1,0)</f>
        <v>1</v>
      </c>
      <c r="R66" s="24">
        <f>ROUND(INDEX($C$2:$C$5,MATCH($E66,$B$2:$B$5,0))*$I66/SUMIFS($I:$I,$E:$E,$E66,$B:$B,$B66,Q:Q,1)*IF(B66=$B$10,0.9,1),0)</f>
        <v>0</v>
      </c>
      <c r="S66" s="24">
        <f t="shared" si="252"/>
        <v>1</v>
      </c>
      <c r="T66" s="24">
        <f>ROUND(INDEX($C$2:$C$5,MATCH($E66,$B$2:$B$5,0))*$J66/SUMIFS($J:$J,$E:$E,$E66,$B:$B,$B66,S:S,1)*IF(B66=$B$10,0.9,1),0)</f>
        <v>0</v>
      </c>
      <c r="U66" s="24">
        <f t="shared" si="252"/>
        <v>1</v>
      </c>
      <c r="V66" s="24">
        <f>ROUND(INDEX($C$2:$C$5,MATCH($E66,$B$2:$B$5,0))*$K66/SUMIFS($K:$K,$E:$E,$E66,$B:$B,$B66,U:U,1)*IF(B66=$B$10,0.9,1),0)</f>
        <v>0</v>
      </c>
      <c r="W66" s="24">
        <f t="shared" ref="W66:AA66" si="253">IF($L66&lt;=W$8,1,0)</f>
        <v>1</v>
      </c>
      <c r="X66" s="24">
        <f>ROUND(INDEX($C$2:$C$5,MATCH($E66,$B$2:$B$5,0))*$F66/SUMIFS($F:$F,$E:$E,$E66,$B:$B,$B66,W:W,1)*IF(B66=$B$10,0.9,1),0)</f>
        <v>0</v>
      </c>
      <c r="Y66" s="24">
        <f t="shared" si="253"/>
        <v>1</v>
      </c>
      <c r="Z66" s="24">
        <f>ROUND(INDEX($C$2:$C$5,MATCH($E66,$B$2:$B$5,0))*$G66/SUMIFS($G:$G,$E:$E,$E66,$B:$B,$B66,Y:Y,1)*IF(B66=$B$10,0.9,1),0)</f>
        <v>0</v>
      </c>
      <c r="AA66" s="24">
        <f t="shared" si="253"/>
        <v>1</v>
      </c>
      <c r="AB66" s="24">
        <f>ROUND(INDEX($C$2:$C$5,MATCH($E66,$B$2:$B$5,0))*$H66/SUMIFS($H:$H,$E:$E,$E66,$B:$B,$B66,AA:AA,1)*IF(B66=$B$10,0.9,1),0)</f>
        <v>0</v>
      </c>
      <c r="AC66" s="24">
        <f t="shared" ref="AC66:AG66" si="254">IF($L66&lt;=AC$8,1,0)</f>
        <v>1</v>
      </c>
      <c r="AD66" s="24">
        <f>ROUND(INDEX($C$2:$C$5,MATCH($E66,$B$2:$B$5,0))*$F66/SUMIFS($F:$F,$E:$E,$E66,$B:$B,$B66,AC:AC,1)*IF(B66=$B$10,0.9,1),0)</f>
        <v>0</v>
      </c>
      <c r="AE66" s="24">
        <f t="shared" si="254"/>
        <v>1</v>
      </c>
      <c r="AF66" s="24">
        <f>ROUND(INDEX($C$2:$C$5,MATCH($E66,$B$2:$B$5,0))*$G66/SUMIFS($G:$G,$E:$E,$E66,$B:$B,$B66,AE:AE,1)*IF(B66=$B$10,0.9,1),0)</f>
        <v>0</v>
      </c>
      <c r="AG66" s="24">
        <f t="shared" si="254"/>
        <v>1</v>
      </c>
      <c r="AH66" s="24">
        <f>ROUND(INDEX($C$2:$C$5,MATCH($E66,$B$2:$B$5,0))*$H66/SUMIFS($H:$H,$E:$E,$E66,$B:$B,$B66,AG:AG,1)*IF(B66=$B$10,0.9,1),0)</f>
        <v>0</v>
      </c>
      <c r="AI66" s="24">
        <f t="shared" ref="AI66:AM66" si="255">IF($L66&lt;=AI$8,1,0)</f>
        <v>1</v>
      </c>
      <c r="AJ66" s="24">
        <f>ROUND(INDEX($C$2:$C$5,MATCH($E66,$B$2:$B$5,0))*$F66/SUMIFS($F:$F,$E:$E,$E66,$B:$B,$B66,AI:AI,1)*IF(B66=$B$10,0.9,1),0)</f>
        <v>0</v>
      </c>
      <c r="AK66" s="24">
        <f t="shared" si="255"/>
        <v>1</v>
      </c>
      <c r="AL66" s="24">
        <f>ROUND(INDEX($C$2:$C$5,MATCH($E66,$B$2:$B$5,0))*$G66/SUMIFS($G:$G,$E:$E,$E66,$B:$B,$B66,AK:AK,1)*IF(B66=$B$10,0.9,1),0)</f>
        <v>0</v>
      </c>
      <c r="AM66" s="24">
        <f t="shared" si="255"/>
        <v>1</v>
      </c>
      <c r="AN66" s="24">
        <f>ROUND(INDEX($C$2:$C$5,MATCH($E66,$B$2:$B$5,0))*$H66/SUMIFS($H:$H,$E:$E,$E66,$B:$B,$B66,AM:AM,1)*IF(B66=$B$10,0.9,1),0)</f>
        <v>0</v>
      </c>
      <c r="AX66" s="4" t="str">
        <f t="shared" si="4"/>
        <v>1,0</v>
      </c>
      <c r="AY66" s="4" t="str">
        <f t="shared" si="5"/>
        <v>1,0</v>
      </c>
      <c r="AZ66" s="4" t="str">
        <f t="shared" si="6"/>
        <v>1,0</v>
      </c>
      <c r="BA66" s="4" t="str">
        <f t="shared" si="7"/>
        <v>1,0</v>
      </c>
      <c r="BB66" s="4" t="str">
        <f t="shared" si="8"/>
        <v>1,0</v>
      </c>
      <c r="BC66" s="4" t="str">
        <f t="shared" si="9"/>
        <v>1,0</v>
      </c>
      <c r="BD66" s="4" t="str">
        <f t="shared" si="10"/>
        <v>1,0</v>
      </c>
      <c r="BE66" s="4" t="str">
        <f t="shared" si="11"/>
        <v>1,0</v>
      </c>
      <c r="BF66" s="4" t="str">
        <f t="shared" si="12"/>
        <v>1,0</v>
      </c>
      <c r="BG66" s="4" t="str">
        <f t="shared" si="13"/>
        <v>1,0</v>
      </c>
      <c r="BH66" s="4" t="str">
        <f t="shared" si="14"/>
        <v>1,0</v>
      </c>
      <c r="BI66" s="4" t="str">
        <f t="shared" si="15"/>
        <v>1,0</v>
      </c>
      <c r="BJ66" s="4" t="str">
        <f t="shared" si="16"/>
        <v>1,0</v>
      </c>
    </row>
    <row r="67" customHeight="1" spans="1:62">
      <c r="A67" s="35">
        <v>414</v>
      </c>
      <c r="B67" s="40" t="s">
        <v>50</v>
      </c>
      <c r="C67" s="40"/>
      <c r="D67" s="44" t="s">
        <v>365</v>
      </c>
      <c r="E67" s="45">
        <v>2</v>
      </c>
      <c r="F67" s="35">
        <v>1</v>
      </c>
      <c r="G67" s="35">
        <f t="shared" si="17"/>
        <v>1</v>
      </c>
      <c r="H67" s="35">
        <v>1</v>
      </c>
      <c r="I67" s="35">
        <v>1</v>
      </c>
      <c r="J67" s="35">
        <v>1</v>
      </c>
      <c r="K67" s="35">
        <v>1</v>
      </c>
      <c r="L67" s="35">
        <v>1</v>
      </c>
      <c r="M67" s="35" t="s">
        <v>136</v>
      </c>
      <c r="N67">
        <f t="shared" si="18"/>
        <v>4500</v>
      </c>
      <c r="O67" s="35">
        <v>1</v>
      </c>
      <c r="P67" s="24">
        <f>ROUND(INDEX($C$2:$C$5,MATCH($E67,$B$2:$B$5,0))*$F67/SUMIFS($F:$F,$E:$E,$E67,$B:$B,$B67,O:O,1)*IF(B67=$B$10,0.9,1),0)</f>
        <v>1125</v>
      </c>
      <c r="Q67" s="24">
        <f t="shared" ref="Q67:U67" si="256">IF($L67&lt;=Q$8,1,0)</f>
        <v>1</v>
      </c>
      <c r="R67" s="24">
        <f>ROUND(INDEX($C$2:$C$5,MATCH($E67,$B$2:$B$5,0))*$I67/SUMIFS($I:$I,$E:$E,$E67,$B:$B,$B67,Q:Q,1)*IF(B67=$B$10,0.9,1),0)</f>
        <v>1500</v>
      </c>
      <c r="S67" s="24">
        <f t="shared" si="256"/>
        <v>1</v>
      </c>
      <c r="T67" s="24">
        <f>ROUND(INDEX($C$2:$C$5,MATCH($E67,$B$2:$B$5,0))*$J67/SUMIFS($J:$J,$E:$E,$E67,$B:$B,$B67,S:S,1)*IF(B67=$B$10,0.9,1),0)</f>
        <v>1500</v>
      </c>
      <c r="U67" s="24">
        <f t="shared" si="256"/>
        <v>1</v>
      </c>
      <c r="V67" s="24">
        <f>ROUND(INDEX($C$2:$C$5,MATCH($E67,$B$2:$B$5,0))*$K67/SUMIFS($K:$K,$E:$E,$E67,$B:$B,$B67,U:U,1)*IF(B67=$B$10,0.9,1),0)</f>
        <v>1500</v>
      </c>
      <c r="W67" s="24">
        <f t="shared" ref="W67:AA67" si="257">IF($L67&lt;=W$8,1,0)</f>
        <v>1</v>
      </c>
      <c r="X67" s="24">
        <f>ROUND(INDEX($C$2:$C$5,MATCH($E67,$B$2:$B$5,0))*$F67/SUMIFS($F:$F,$E:$E,$E67,$B:$B,$B67,W:W,1)*IF(B67=$B$10,0.9,1),0)</f>
        <v>1125</v>
      </c>
      <c r="Y67" s="24">
        <f t="shared" si="257"/>
        <v>1</v>
      </c>
      <c r="Z67" s="24">
        <f>ROUND(INDEX($C$2:$C$5,MATCH($E67,$B$2:$B$5,0))*$G67/SUMIFS($G:$G,$E:$E,$E67,$B:$B,$B67,Y:Y,1)*IF(B67=$B$10,0.9,1),0)</f>
        <v>1125</v>
      </c>
      <c r="AA67" s="24">
        <f t="shared" si="257"/>
        <v>1</v>
      </c>
      <c r="AB67" s="24">
        <f>ROUND(INDEX($C$2:$C$5,MATCH($E67,$B$2:$B$5,0))*$H67/SUMIFS($H:$H,$E:$E,$E67,$B:$B,$B67,AA:AA,1)*IF(B67=$B$10,0.9,1),0)</f>
        <v>1125</v>
      </c>
      <c r="AC67" s="24">
        <f t="shared" ref="AC67:AG67" si="258">IF($L67&lt;=AC$8,1,0)</f>
        <v>1</v>
      </c>
      <c r="AD67" s="24">
        <f>ROUND(INDEX($C$2:$C$5,MATCH($E67,$B$2:$B$5,0))*$F67/SUMIFS($F:$F,$E:$E,$E67,$B:$B,$B67,AC:AC,1)*IF(B67=$B$10,0.9,1),0)</f>
        <v>1125</v>
      </c>
      <c r="AE67" s="24">
        <f t="shared" si="258"/>
        <v>1</v>
      </c>
      <c r="AF67" s="24">
        <f>ROUND(INDEX($C$2:$C$5,MATCH($E67,$B$2:$B$5,0))*$G67/SUMIFS($G:$G,$E:$E,$E67,$B:$B,$B67,AE:AE,1)*IF(B67=$B$10,0.9,1),0)</f>
        <v>1125</v>
      </c>
      <c r="AG67" s="24">
        <f t="shared" si="258"/>
        <v>1</v>
      </c>
      <c r="AH67" s="24">
        <f>ROUND(INDEX($C$2:$C$5,MATCH($E67,$B$2:$B$5,0))*$H67/SUMIFS($H:$H,$E:$E,$E67,$B:$B,$B67,AG:AG,1)*IF(B67=$B$10,0.9,1),0)</f>
        <v>1125</v>
      </c>
      <c r="AI67" s="24">
        <f t="shared" ref="AI67:AM67" si="259">IF($L67&lt;=AI$8,1,0)</f>
        <v>1</v>
      </c>
      <c r="AJ67" s="24">
        <f>ROUND(INDEX($C$2:$C$5,MATCH($E67,$B$2:$B$5,0))*$F67/SUMIFS($F:$F,$E:$E,$E67,$B:$B,$B67,AI:AI,1)*IF(B67=$B$10,0.9,1),0)</f>
        <v>1125</v>
      </c>
      <c r="AK67" s="24">
        <f t="shared" si="259"/>
        <v>1</v>
      </c>
      <c r="AL67" s="24">
        <f>ROUND(INDEX($C$2:$C$5,MATCH($E67,$B$2:$B$5,0))*$G67/SUMIFS($G:$G,$E:$E,$E67,$B:$B,$B67,AK:AK,1)*IF(B67=$B$10,0.9,1),0)</f>
        <v>1125</v>
      </c>
      <c r="AM67" s="24">
        <f t="shared" si="259"/>
        <v>1</v>
      </c>
      <c r="AN67" s="24">
        <f>ROUND(INDEX($C$2:$C$5,MATCH($E67,$B$2:$B$5,0))*$H67/SUMIFS($H:$H,$E:$E,$E67,$B:$B,$B67,AM:AM,1)*IF(B67=$B$10,0.9,1),0)</f>
        <v>1125</v>
      </c>
      <c r="AX67" s="4" t="str">
        <f t="shared" si="4"/>
        <v>1,1125</v>
      </c>
      <c r="AY67" s="4" t="str">
        <f t="shared" si="5"/>
        <v>1,1500</v>
      </c>
      <c r="AZ67" s="4" t="str">
        <f t="shared" si="6"/>
        <v>1,1500</v>
      </c>
      <c r="BA67" s="4" t="str">
        <f t="shared" si="7"/>
        <v>1,1500</v>
      </c>
      <c r="BB67" s="4" t="str">
        <f t="shared" si="8"/>
        <v>1,1125</v>
      </c>
      <c r="BC67" s="4" t="str">
        <f t="shared" si="9"/>
        <v>1,1125</v>
      </c>
      <c r="BD67" s="4" t="str">
        <f t="shared" si="10"/>
        <v>1,1125</v>
      </c>
      <c r="BE67" s="4" t="str">
        <f t="shared" si="11"/>
        <v>1,1125</v>
      </c>
      <c r="BF67" s="4" t="str">
        <f t="shared" si="12"/>
        <v>1,1125</v>
      </c>
      <c r="BG67" s="4" t="str">
        <f t="shared" si="13"/>
        <v>1,1125</v>
      </c>
      <c r="BH67" s="4" t="str">
        <f t="shared" si="14"/>
        <v>1,1125</v>
      </c>
      <c r="BI67" s="4" t="str">
        <f t="shared" si="15"/>
        <v>1,1125</v>
      </c>
      <c r="BJ67" s="4" t="str">
        <f t="shared" si="16"/>
        <v>1,1125</v>
      </c>
    </row>
    <row r="68" customHeight="1" spans="1:62">
      <c r="A68" s="35">
        <v>421</v>
      </c>
      <c r="B68" s="40" t="s">
        <v>50</v>
      </c>
      <c r="C68" s="40"/>
      <c r="D68" s="46" t="s">
        <v>366</v>
      </c>
      <c r="E68" s="45">
        <v>3</v>
      </c>
      <c r="F68" s="35">
        <v>1</v>
      </c>
      <c r="G68" s="35">
        <f t="shared" si="17"/>
        <v>1</v>
      </c>
      <c r="H68" s="35">
        <v>1</v>
      </c>
      <c r="I68" s="35">
        <v>1</v>
      </c>
      <c r="J68" s="35">
        <v>1</v>
      </c>
      <c r="K68" s="35">
        <v>1</v>
      </c>
      <c r="L68" s="35">
        <v>1</v>
      </c>
      <c r="M68" s="35"/>
      <c r="N68">
        <f t="shared" si="18"/>
        <v>1500</v>
      </c>
      <c r="O68" s="35">
        <v>1</v>
      </c>
      <c r="P68" s="24">
        <f>ROUND(INDEX($C$2:$C$5,MATCH($E68,$B$2:$B$5,0))*$F68/SUMIFS($F:$F,$E:$E,$E68,$B:$B,$B68,O:O,1)*IF(B68=$B$10,0.9,1),0)</f>
        <v>250</v>
      </c>
      <c r="Q68" s="24">
        <f t="shared" ref="Q68:U68" si="260">IF($L68&lt;=Q$8,1,0)</f>
        <v>1</v>
      </c>
      <c r="R68" s="24">
        <f>ROUND(INDEX($C$2:$C$5,MATCH($E68,$B$2:$B$5,0))*$I68/SUMIFS($I:$I,$E:$E,$E68,$B:$B,$B68,Q:Q,1)*IF(B68=$B$10,0.9,1),0)</f>
        <v>300</v>
      </c>
      <c r="S68" s="24">
        <f t="shared" si="260"/>
        <v>1</v>
      </c>
      <c r="T68" s="24">
        <f>ROUND(INDEX($C$2:$C$5,MATCH($E68,$B$2:$B$5,0))*$J68/SUMIFS($J:$J,$E:$E,$E68,$B:$B,$B68,S:S,1)*IF(B68=$B$10,0.9,1),0)</f>
        <v>300</v>
      </c>
      <c r="U68" s="24">
        <f t="shared" si="260"/>
        <v>1</v>
      </c>
      <c r="V68" s="24">
        <f>ROUND(INDEX($C$2:$C$5,MATCH($E68,$B$2:$B$5,0))*$K68/SUMIFS($K:$K,$E:$E,$E68,$B:$B,$B68,U:U,1)*IF(B68=$B$10,0.9,1),0)</f>
        <v>300</v>
      </c>
      <c r="W68" s="24">
        <f t="shared" ref="W68:AA68" si="261">IF($L68&lt;=W$8,1,0)</f>
        <v>1</v>
      </c>
      <c r="X68" s="24">
        <f>ROUND(INDEX($C$2:$C$5,MATCH($E68,$B$2:$B$5,0))*$F68/SUMIFS($F:$F,$E:$E,$E68,$B:$B,$B68,W:W,1)*IF(B68=$B$10,0.9,1),0)</f>
        <v>250</v>
      </c>
      <c r="Y68" s="24">
        <f t="shared" si="261"/>
        <v>1</v>
      </c>
      <c r="Z68" s="24">
        <f>ROUND(INDEX($C$2:$C$5,MATCH($E68,$B$2:$B$5,0))*$G68/SUMIFS($G:$G,$E:$E,$E68,$B:$B,$B68,Y:Y,1)*IF(B68=$B$10,0.9,1),0)</f>
        <v>250</v>
      </c>
      <c r="AA68" s="24">
        <f t="shared" si="261"/>
        <v>1</v>
      </c>
      <c r="AB68" s="24">
        <f>ROUND(INDEX($C$2:$C$5,MATCH($E68,$B$2:$B$5,0))*$H68/SUMIFS($H:$H,$E:$E,$E68,$B:$B,$B68,AA:AA,1)*IF(B68=$B$10,0.9,1),0)</f>
        <v>250</v>
      </c>
      <c r="AC68" s="24">
        <f t="shared" ref="AC68:AG68" si="262">IF($L68&lt;=AC$8,1,0)</f>
        <v>1</v>
      </c>
      <c r="AD68" s="24">
        <f>ROUND(INDEX($C$2:$C$5,MATCH($E68,$B$2:$B$5,0))*$F68/SUMIFS($F:$F,$E:$E,$E68,$B:$B,$B68,AC:AC,1)*IF(B68=$B$10,0.9,1),0)</f>
        <v>250</v>
      </c>
      <c r="AE68" s="24">
        <f t="shared" si="262"/>
        <v>1</v>
      </c>
      <c r="AF68" s="24">
        <f>ROUND(INDEX($C$2:$C$5,MATCH($E68,$B$2:$B$5,0))*$G68/SUMIFS($G:$G,$E:$E,$E68,$B:$B,$B68,AE:AE,1)*IF(B68=$B$10,0.9,1),0)</f>
        <v>250</v>
      </c>
      <c r="AG68" s="24">
        <f t="shared" si="262"/>
        <v>1</v>
      </c>
      <c r="AH68" s="24">
        <f>ROUND(INDEX($C$2:$C$5,MATCH($E68,$B$2:$B$5,0))*$H68/SUMIFS($H:$H,$E:$E,$E68,$B:$B,$B68,AG:AG,1)*IF(B68=$B$10,0.9,1),0)</f>
        <v>250</v>
      </c>
      <c r="AI68" s="24">
        <f t="shared" ref="AI68:AM68" si="263">IF($L68&lt;=AI$8,1,0)</f>
        <v>1</v>
      </c>
      <c r="AJ68" s="24">
        <f>ROUND(INDEX($C$2:$C$5,MATCH($E68,$B$2:$B$5,0))*$F68/SUMIFS($F:$F,$E:$E,$E68,$B:$B,$B68,AI:AI,1)*IF(B68=$B$10,0.9,1),0)</f>
        <v>250</v>
      </c>
      <c r="AK68" s="24">
        <f t="shared" si="263"/>
        <v>1</v>
      </c>
      <c r="AL68" s="24">
        <f>ROUND(INDEX($C$2:$C$5,MATCH($E68,$B$2:$B$5,0))*$G68/SUMIFS($G:$G,$E:$E,$E68,$B:$B,$B68,AK:AK,1)*IF(B68=$B$10,0.9,1),0)</f>
        <v>250</v>
      </c>
      <c r="AM68" s="24">
        <f t="shared" si="263"/>
        <v>1</v>
      </c>
      <c r="AN68" s="24">
        <f>ROUND(INDEX($C$2:$C$5,MATCH($E68,$B$2:$B$5,0))*$H68/SUMIFS($H:$H,$E:$E,$E68,$B:$B,$B68,AM:AM,1)*IF(B68=$B$10,0.9,1),0)</f>
        <v>250</v>
      </c>
      <c r="AX68" s="4" t="str">
        <f t="shared" si="4"/>
        <v>1,250</v>
      </c>
      <c r="AY68" s="4" t="str">
        <f t="shared" si="5"/>
        <v>1,300</v>
      </c>
      <c r="AZ68" s="4" t="str">
        <f t="shared" si="6"/>
        <v>1,300</v>
      </c>
      <c r="BA68" s="4" t="str">
        <f t="shared" si="7"/>
        <v>1,300</v>
      </c>
      <c r="BB68" s="4" t="str">
        <f t="shared" si="8"/>
        <v>1,250</v>
      </c>
      <c r="BC68" s="4" t="str">
        <f t="shared" si="9"/>
        <v>1,250</v>
      </c>
      <c r="BD68" s="4" t="str">
        <f t="shared" si="10"/>
        <v>1,250</v>
      </c>
      <c r="BE68" s="4" t="str">
        <f t="shared" si="11"/>
        <v>1,250</v>
      </c>
      <c r="BF68" s="4" t="str">
        <f t="shared" si="12"/>
        <v>1,250</v>
      </c>
      <c r="BG68" s="4" t="str">
        <f t="shared" si="13"/>
        <v>1,250</v>
      </c>
      <c r="BH68" s="4" t="str">
        <f t="shared" si="14"/>
        <v>1,250</v>
      </c>
      <c r="BI68" s="4" t="str">
        <f t="shared" si="15"/>
        <v>1,250</v>
      </c>
      <c r="BJ68" s="4" t="str">
        <f t="shared" si="16"/>
        <v>1,250</v>
      </c>
    </row>
    <row r="69" customHeight="1" spans="1:62">
      <c r="A69" s="35">
        <v>422</v>
      </c>
      <c r="B69" s="40" t="s">
        <v>50</v>
      </c>
      <c r="C69" s="40" t="s">
        <v>218</v>
      </c>
      <c r="D69" s="46" t="s">
        <v>367</v>
      </c>
      <c r="E69" s="43">
        <v>3</v>
      </c>
      <c r="F69" s="35">
        <v>1</v>
      </c>
      <c r="G69" s="35">
        <f t="shared" si="17"/>
        <v>1</v>
      </c>
      <c r="H69" s="35">
        <v>1</v>
      </c>
      <c r="I69" s="35">
        <v>1</v>
      </c>
      <c r="J69" s="35">
        <v>1</v>
      </c>
      <c r="K69" s="35">
        <v>1</v>
      </c>
      <c r="L69" s="35">
        <v>1</v>
      </c>
      <c r="M69" s="35" t="s">
        <v>136</v>
      </c>
      <c r="N69">
        <f t="shared" si="18"/>
        <v>1500</v>
      </c>
      <c r="O69" s="35">
        <v>1</v>
      </c>
      <c r="P69" s="24">
        <f>ROUND(INDEX($C$2:$C$5,MATCH($E69,$B$2:$B$5,0))*$F69/SUMIFS($F:$F,$E:$E,$E69,$B:$B,$B69,O:O,1)*IF(B69=$B$10,0.9,1),0)</f>
        <v>250</v>
      </c>
      <c r="Q69" s="24">
        <f t="shared" ref="Q69:U69" si="264">IF($L69&lt;=Q$8,1,0)</f>
        <v>1</v>
      </c>
      <c r="R69" s="24">
        <f>ROUND(INDEX($C$2:$C$5,MATCH($E69,$B$2:$B$5,0))*$I69/SUMIFS($I:$I,$E:$E,$E69,$B:$B,$B69,Q:Q,1)*IF(B69=$B$10,0.9,1),0)</f>
        <v>300</v>
      </c>
      <c r="S69" s="24">
        <f t="shared" si="264"/>
        <v>1</v>
      </c>
      <c r="T69" s="24">
        <f>ROUND(INDEX($C$2:$C$5,MATCH($E69,$B$2:$B$5,0))*$J69/SUMIFS($J:$J,$E:$E,$E69,$B:$B,$B69,S:S,1)*IF(B69=$B$10,0.9,1),0)</f>
        <v>300</v>
      </c>
      <c r="U69" s="24">
        <f t="shared" si="264"/>
        <v>1</v>
      </c>
      <c r="V69" s="24">
        <f>ROUND(INDEX($C$2:$C$5,MATCH($E69,$B$2:$B$5,0))*$K69/SUMIFS($K:$K,$E:$E,$E69,$B:$B,$B69,U:U,1)*IF(B69=$B$10,0.9,1),0)</f>
        <v>300</v>
      </c>
      <c r="W69" s="24">
        <f t="shared" ref="W69:AA69" si="265">IF($L69&lt;=W$8,1,0)</f>
        <v>1</v>
      </c>
      <c r="X69" s="24">
        <f>ROUND(INDEX($C$2:$C$5,MATCH($E69,$B$2:$B$5,0))*$F69/SUMIFS($F:$F,$E:$E,$E69,$B:$B,$B69,W:W,1)*IF(B69=$B$10,0.9,1),0)</f>
        <v>250</v>
      </c>
      <c r="Y69" s="24">
        <f t="shared" si="265"/>
        <v>1</v>
      </c>
      <c r="Z69" s="24">
        <f>ROUND(INDEX($C$2:$C$5,MATCH($E69,$B$2:$B$5,0))*$G69/SUMIFS($G:$G,$E:$E,$E69,$B:$B,$B69,Y:Y,1)*IF(B69=$B$10,0.9,1),0)</f>
        <v>250</v>
      </c>
      <c r="AA69" s="24">
        <f t="shared" si="265"/>
        <v>1</v>
      </c>
      <c r="AB69" s="24">
        <f>ROUND(INDEX($C$2:$C$5,MATCH($E69,$B$2:$B$5,0))*$H69/SUMIFS($H:$H,$E:$E,$E69,$B:$B,$B69,AA:AA,1)*IF(B69=$B$10,0.9,1),0)</f>
        <v>250</v>
      </c>
      <c r="AC69" s="24">
        <f t="shared" ref="AC69:AG69" si="266">IF($L69&lt;=AC$8,1,0)</f>
        <v>1</v>
      </c>
      <c r="AD69" s="24">
        <f>ROUND(INDEX($C$2:$C$5,MATCH($E69,$B$2:$B$5,0))*$F69/SUMIFS($F:$F,$E:$E,$E69,$B:$B,$B69,AC:AC,1)*IF(B69=$B$10,0.9,1),0)</f>
        <v>250</v>
      </c>
      <c r="AE69" s="24">
        <f t="shared" si="266"/>
        <v>1</v>
      </c>
      <c r="AF69" s="24">
        <f>ROUND(INDEX($C$2:$C$5,MATCH($E69,$B$2:$B$5,0))*$G69/SUMIFS($G:$G,$E:$E,$E69,$B:$B,$B69,AE:AE,1)*IF(B69=$B$10,0.9,1),0)</f>
        <v>250</v>
      </c>
      <c r="AG69" s="24">
        <f t="shared" si="266"/>
        <v>1</v>
      </c>
      <c r="AH69" s="24">
        <f>ROUND(INDEX($C$2:$C$5,MATCH($E69,$B$2:$B$5,0))*$H69/SUMIFS($H:$H,$E:$E,$E69,$B:$B,$B69,AG:AG,1)*IF(B69=$B$10,0.9,1),0)</f>
        <v>250</v>
      </c>
      <c r="AI69" s="24">
        <f t="shared" ref="AI69:AM69" si="267">IF($L69&lt;=AI$8,1,0)</f>
        <v>1</v>
      </c>
      <c r="AJ69" s="24">
        <f>ROUND(INDEX($C$2:$C$5,MATCH($E69,$B$2:$B$5,0))*$F69/SUMIFS($F:$F,$E:$E,$E69,$B:$B,$B69,AI:AI,1)*IF(B69=$B$10,0.9,1),0)</f>
        <v>250</v>
      </c>
      <c r="AK69" s="24">
        <f t="shared" si="267"/>
        <v>1</v>
      </c>
      <c r="AL69" s="24">
        <f>ROUND(INDEX($C$2:$C$5,MATCH($E69,$B$2:$B$5,0))*$G69/SUMIFS($G:$G,$E:$E,$E69,$B:$B,$B69,AK:AK,1)*IF(B69=$B$10,0.9,1),0)</f>
        <v>250</v>
      </c>
      <c r="AM69" s="24">
        <f t="shared" si="267"/>
        <v>1</v>
      </c>
      <c r="AN69" s="24">
        <f>ROUND(INDEX($C$2:$C$5,MATCH($E69,$B$2:$B$5,0))*$H69/SUMIFS($H:$H,$E:$E,$E69,$B:$B,$B69,AM:AM,1)*IF(B69=$B$10,0.9,1),0)</f>
        <v>250</v>
      </c>
      <c r="AX69" s="4" t="str">
        <f t="shared" si="4"/>
        <v>1,250</v>
      </c>
      <c r="AY69" s="4" t="str">
        <f t="shared" si="5"/>
        <v>1,300</v>
      </c>
      <c r="AZ69" s="4" t="str">
        <f t="shared" si="6"/>
        <v>1,300</v>
      </c>
      <c r="BA69" s="4" t="str">
        <f t="shared" si="7"/>
        <v>1,300</v>
      </c>
      <c r="BB69" s="4" t="str">
        <f t="shared" si="8"/>
        <v>1,250</v>
      </c>
      <c r="BC69" s="4" t="str">
        <f t="shared" si="9"/>
        <v>1,250</v>
      </c>
      <c r="BD69" s="4" t="str">
        <f t="shared" si="10"/>
        <v>1,250</v>
      </c>
      <c r="BE69" s="4" t="str">
        <f t="shared" si="11"/>
        <v>1,250</v>
      </c>
      <c r="BF69" s="4" t="str">
        <f t="shared" si="12"/>
        <v>1,250</v>
      </c>
      <c r="BG69" s="4" t="str">
        <f t="shared" si="13"/>
        <v>1,250</v>
      </c>
      <c r="BH69" s="4" t="str">
        <f t="shared" si="14"/>
        <v>1,250</v>
      </c>
      <c r="BI69" s="4" t="str">
        <f t="shared" si="15"/>
        <v>1,250</v>
      </c>
      <c r="BJ69" s="4" t="str">
        <f t="shared" si="16"/>
        <v>1,250</v>
      </c>
    </row>
    <row r="70" customHeight="1" spans="1:62">
      <c r="A70" s="35">
        <v>423</v>
      </c>
      <c r="B70" s="40" t="s">
        <v>50</v>
      </c>
      <c r="C70" s="40" t="s">
        <v>218</v>
      </c>
      <c r="D70" s="46" t="s">
        <v>368</v>
      </c>
      <c r="E70" s="43">
        <v>3</v>
      </c>
      <c r="F70" s="35">
        <v>1</v>
      </c>
      <c r="G70" s="35">
        <f t="shared" si="17"/>
        <v>1</v>
      </c>
      <c r="H70" s="35">
        <v>1</v>
      </c>
      <c r="I70" s="35">
        <v>1</v>
      </c>
      <c r="J70" s="35">
        <v>1</v>
      </c>
      <c r="K70" s="35">
        <v>1</v>
      </c>
      <c r="L70" s="35">
        <v>1</v>
      </c>
      <c r="M70" s="35"/>
      <c r="N70">
        <f t="shared" si="18"/>
        <v>1500</v>
      </c>
      <c r="O70" s="35">
        <v>1</v>
      </c>
      <c r="P70" s="24">
        <f>ROUND(INDEX($C$2:$C$5,MATCH($E70,$B$2:$B$5,0))*$F70/SUMIFS($F:$F,$E:$E,$E70,$B:$B,$B70,O:O,1)*IF(B70=$B$10,0.9,1),0)</f>
        <v>250</v>
      </c>
      <c r="Q70" s="24">
        <f t="shared" ref="Q70:U70" si="268">IF($L70&lt;=Q$8,1,0)</f>
        <v>1</v>
      </c>
      <c r="R70" s="24">
        <f>ROUND(INDEX($C$2:$C$5,MATCH($E70,$B$2:$B$5,0))*$I70/SUMIFS($I:$I,$E:$E,$E70,$B:$B,$B70,Q:Q,1)*IF(B70=$B$10,0.9,1),0)</f>
        <v>300</v>
      </c>
      <c r="S70" s="24">
        <f t="shared" si="268"/>
        <v>1</v>
      </c>
      <c r="T70" s="24">
        <f>ROUND(INDEX($C$2:$C$5,MATCH($E70,$B$2:$B$5,0))*$J70/SUMIFS($J:$J,$E:$E,$E70,$B:$B,$B70,S:S,1)*IF(B70=$B$10,0.9,1),0)</f>
        <v>300</v>
      </c>
      <c r="U70" s="24">
        <f t="shared" si="268"/>
        <v>1</v>
      </c>
      <c r="V70" s="24">
        <f>ROUND(INDEX($C$2:$C$5,MATCH($E70,$B$2:$B$5,0))*$K70/SUMIFS($K:$K,$E:$E,$E70,$B:$B,$B70,U:U,1)*IF(B70=$B$10,0.9,1),0)</f>
        <v>300</v>
      </c>
      <c r="W70" s="24">
        <f t="shared" ref="W70:AA70" si="269">IF($L70&lt;=W$8,1,0)</f>
        <v>1</v>
      </c>
      <c r="X70" s="24">
        <f>ROUND(INDEX($C$2:$C$5,MATCH($E70,$B$2:$B$5,0))*$F70/SUMIFS($F:$F,$E:$E,$E70,$B:$B,$B70,W:W,1)*IF(B70=$B$10,0.9,1),0)</f>
        <v>250</v>
      </c>
      <c r="Y70" s="24">
        <f t="shared" si="269"/>
        <v>1</v>
      </c>
      <c r="Z70" s="24">
        <f>ROUND(INDEX($C$2:$C$5,MATCH($E70,$B$2:$B$5,0))*$G70/SUMIFS($G:$G,$E:$E,$E70,$B:$B,$B70,Y:Y,1)*IF(B70=$B$10,0.9,1),0)</f>
        <v>250</v>
      </c>
      <c r="AA70" s="24">
        <f t="shared" si="269"/>
        <v>1</v>
      </c>
      <c r="AB70" s="24">
        <f>ROUND(INDEX($C$2:$C$5,MATCH($E70,$B$2:$B$5,0))*$H70/SUMIFS($H:$H,$E:$E,$E70,$B:$B,$B70,AA:AA,1)*IF(B70=$B$10,0.9,1),0)</f>
        <v>250</v>
      </c>
      <c r="AC70" s="24">
        <f t="shared" ref="AC70:AG70" si="270">IF($L70&lt;=AC$8,1,0)</f>
        <v>1</v>
      </c>
      <c r="AD70" s="24">
        <f>ROUND(INDEX($C$2:$C$5,MATCH($E70,$B$2:$B$5,0))*$F70/SUMIFS($F:$F,$E:$E,$E70,$B:$B,$B70,AC:AC,1)*IF(B70=$B$10,0.9,1),0)</f>
        <v>250</v>
      </c>
      <c r="AE70" s="24">
        <f t="shared" si="270"/>
        <v>1</v>
      </c>
      <c r="AF70" s="24">
        <f>ROUND(INDEX($C$2:$C$5,MATCH($E70,$B$2:$B$5,0))*$G70/SUMIFS($G:$G,$E:$E,$E70,$B:$B,$B70,AE:AE,1)*IF(B70=$B$10,0.9,1),0)</f>
        <v>250</v>
      </c>
      <c r="AG70" s="24">
        <f t="shared" si="270"/>
        <v>1</v>
      </c>
      <c r="AH70" s="24">
        <f>ROUND(INDEX($C$2:$C$5,MATCH($E70,$B$2:$B$5,0))*$H70/SUMIFS($H:$H,$E:$E,$E70,$B:$B,$B70,AG:AG,1)*IF(B70=$B$10,0.9,1),0)</f>
        <v>250</v>
      </c>
      <c r="AI70" s="24">
        <f t="shared" ref="AI70:AM70" si="271">IF($L70&lt;=AI$8,1,0)</f>
        <v>1</v>
      </c>
      <c r="AJ70" s="24">
        <f>ROUND(INDEX($C$2:$C$5,MATCH($E70,$B$2:$B$5,0))*$F70/SUMIFS($F:$F,$E:$E,$E70,$B:$B,$B70,AI:AI,1)*IF(B70=$B$10,0.9,1),0)</f>
        <v>250</v>
      </c>
      <c r="AK70" s="24">
        <f t="shared" si="271"/>
        <v>1</v>
      </c>
      <c r="AL70" s="24">
        <f>ROUND(INDEX($C$2:$C$5,MATCH($E70,$B$2:$B$5,0))*$G70/SUMIFS($G:$G,$E:$E,$E70,$B:$B,$B70,AK:AK,1)*IF(B70=$B$10,0.9,1),0)</f>
        <v>250</v>
      </c>
      <c r="AM70" s="24">
        <f t="shared" si="271"/>
        <v>1</v>
      </c>
      <c r="AN70" s="24">
        <f>ROUND(INDEX($C$2:$C$5,MATCH($E70,$B$2:$B$5,0))*$H70/SUMIFS($H:$H,$E:$E,$E70,$B:$B,$B70,AM:AM,1)*IF(B70=$B$10,0.9,1),0)</f>
        <v>250</v>
      </c>
      <c r="AX70" s="4" t="str">
        <f t="shared" si="4"/>
        <v>1,250</v>
      </c>
      <c r="AY70" s="4" t="str">
        <f t="shared" si="5"/>
        <v>1,300</v>
      </c>
      <c r="AZ70" s="4" t="str">
        <f t="shared" si="6"/>
        <v>1,300</v>
      </c>
      <c r="BA70" s="4" t="str">
        <f t="shared" si="7"/>
        <v>1,300</v>
      </c>
      <c r="BB70" s="4" t="str">
        <f t="shared" si="8"/>
        <v>1,250</v>
      </c>
      <c r="BC70" s="4" t="str">
        <f t="shared" si="9"/>
        <v>1,250</v>
      </c>
      <c r="BD70" s="4" t="str">
        <f t="shared" si="10"/>
        <v>1,250</v>
      </c>
      <c r="BE70" s="4" t="str">
        <f t="shared" si="11"/>
        <v>1,250</v>
      </c>
      <c r="BF70" s="4" t="str">
        <f t="shared" si="12"/>
        <v>1,250</v>
      </c>
      <c r="BG70" s="4" t="str">
        <f t="shared" si="13"/>
        <v>1,250</v>
      </c>
      <c r="BH70" s="4" t="str">
        <f t="shared" si="14"/>
        <v>1,250</v>
      </c>
      <c r="BI70" s="4" t="str">
        <f t="shared" si="15"/>
        <v>1,250</v>
      </c>
      <c r="BJ70" s="4" t="str">
        <f t="shared" si="16"/>
        <v>1,250</v>
      </c>
    </row>
    <row r="71" customHeight="1" spans="1:62">
      <c r="A71" s="35">
        <v>424</v>
      </c>
      <c r="B71" s="40" t="s">
        <v>50</v>
      </c>
      <c r="C71" s="40" t="s">
        <v>218</v>
      </c>
      <c r="D71" s="46" t="s">
        <v>369</v>
      </c>
      <c r="E71" s="45">
        <v>3</v>
      </c>
      <c r="F71" s="35">
        <v>1</v>
      </c>
      <c r="G71" s="35">
        <f t="shared" si="17"/>
        <v>1</v>
      </c>
      <c r="H71" s="35">
        <v>1</v>
      </c>
      <c r="I71" s="35">
        <v>1</v>
      </c>
      <c r="J71" s="35">
        <v>1</v>
      </c>
      <c r="K71" s="35">
        <v>1</v>
      </c>
      <c r="L71" s="35">
        <v>1</v>
      </c>
      <c r="M71" s="35" t="s">
        <v>136</v>
      </c>
      <c r="N71">
        <f t="shared" si="18"/>
        <v>1500</v>
      </c>
      <c r="O71" s="35">
        <v>1</v>
      </c>
      <c r="P71" s="24">
        <f>ROUND(INDEX($C$2:$C$5,MATCH($E71,$B$2:$B$5,0))*$F71/SUMIFS($F:$F,$E:$E,$E71,$B:$B,$B71,O:O,1)*IF(B71=$B$10,0.9,1),0)</f>
        <v>250</v>
      </c>
      <c r="Q71" s="24">
        <f t="shared" ref="Q71:U71" si="272">IF($L71&lt;=Q$8,1,0)</f>
        <v>1</v>
      </c>
      <c r="R71" s="24">
        <f>ROUND(INDEX($C$2:$C$5,MATCH($E71,$B$2:$B$5,0))*$I71/SUMIFS($I:$I,$E:$E,$E71,$B:$B,$B71,Q:Q,1)*IF(B71=$B$10,0.9,1),0)</f>
        <v>300</v>
      </c>
      <c r="S71" s="24">
        <f t="shared" si="272"/>
        <v>1</v>
      </c>
      <c r="T71" s="24">
        <f>ROUND(INDEX($C$2:$C$5,MATCH($E71,$B$2:$B$5,0))*$J71/SUMIFS($J:$J,$E:$E,$E71,$B:$B,$B71,S:S,1)*IF(B71=$B$10,0.9,1),0)</f>
        <v>300</v>
      </c>
      <c r="U71" s="24">
        <f t="shared" si="272"/>
        <v>1</v>
      </c>
      <c r="V71" s="24">
        <f>ROUND(INDEX($C$2:$C$5,MATCH($E71,$B$2:$B$5,0))*$K71/SUMIFS($K:$K,$E:$E,$E71,$B:$B,$B71,U:U,1)*IF(B71=$B$10,0.9,1),0)</f>
        <v>300</v>
      </c>
      <c r="W71" s="24">
        <f t="shared" ref="W71:AA71" si="273">IF($L71&lt;=W$8,1,0)</f>
        <v>1</v>
      </c>
      <c r="X71" s="24">
        <f>ROUND(INDEX($C$2:$C$5,MATCH($E71,$B$2:$B$5,0))*$F71/SUMIFS($F:$F,$E:$E,$E71,$B:$B,$B71,W:W,1)*IF(B71=$B$10,0.9,1),0)</f>
        <v>250</v>
      </c>
      <c r="Y71" s="24">
        <f t="shared" si="273"/>
        <v>1</v>
      </c>
      <c r="Z71" s="24">
        <f>ROUND(INDEX($C$2:$C$5,MATCH($E71,$B$2:$B$5,0))*$G71/SUMIFS($G:$G,$E:$E,$E71,$B:$B,$B71,Y:Y,1)*IF(B71=$B$10,0.9,1),0)</f>
        <v>250</v>
      </c>
      <c r="AA71" s="24">
        <f t="shared" si="273"/>
        <v>1</v>
      </c>
      <c r="AB71" s="24">
        <f>ROUND(INDEX($C$2:$C$5,MATCH($E71,$B$2:$B$5,0))*$H71/SUMIFS($H:$H,$E:$E,$E71,$B:$B,$B71,AA:AA,1)*IF(B71=$B$10,0.9,1),0)</f>
        <v>250</v>
      </c>
      <c r="AC71" s="24">
        <f t="shared" ref="AC71:AG71" si="274">IF($L71&lt;=AC$8,1,0)</f>
        <v>1</v>
      </c>
      <c r="AD71" s="24">
        <f>ROUND(INDEX($C$2:$C$5,MATCH($E71,$B$2:$B$5,0))*$F71/SUMIFS($F:$F,$E:$E,$E71,$B:$B,$B71,AC:AC,1)*IF(B71=$B$10,0.9,1),0)</f>
        <v>250</v>
      </c>
      <c r="AE71" s="24">
        <f t="shared" si="274"/>
        <v>1</v>
      </c>
      <c r="AF71" s="24">
        <f>ROUND(INDEX($C$2:$C$5,MATCH($E71,$B$2:$B$5,0))*$G71/SUMIFS($G:$G,$E:$E,$E71,$B:$B,$B71,AE:AE,1)*IF(B71=$B$10,0.9,1),0)</f>
        <v>250</v>
      </c>
      <c r="AG71" s="24">
        <f t="shared" si="274"/>
        <v>1</v>
      </c>
      <c r="AH71" s="24">
        <f>ROUND(INDEX($C$2:$C$5,MATCH($E71,$B$2:$B$5,0))*$H71/SUMIFS($H:$H,$E:$E,$E71,$B:$B,$B71,AG:AG,1)*IF(B71=$B$10,0.9,1),0)</f>
        <v>250</v>
      </c>
      <c r="AI71" s="24">
        <f t="shared" ref="AI71:AM71" si="275">IF($L71&lt;=AI$8,1,0)</f>
        <v>1</v>
      </c>
      <c r="AJ71" s="24">
        <f>ROUND(INDEX($C$2:$C$5,MATCH($E71,$B$2:$B$5,0))*$F71/SUMIFS($F:$F,$E:$E,$E71,$B:$B,$B71,AI:AI,1)*IF(B71=$B$10,0.9,1),0)</f>
        <v>250</v>
      </c>
      <c r="AK71" s="24">
        <f t="shared" si="275"/>
        <v>1</v>
      </c>
      <c r="AL71" s="24">
        <f>ROUND(INDEX($C$2:$C$5,MATCH($E71,$B$2:$B$5,0))*$G71/SUMIFS($G:$G,$E:$E,$E71,$B:$B,$B71,AK:AK,1)*IF(B71=$B$10,0.9,1),0)</f>
        <v>250</v>
      </c>
      <c r="AM71" s="24">
        <f t="shared" si="275"/>
        <v>1</v>
      </c>
      <c r="AN71" s="24">
        <f>ROUND(INDEX($C$2:$C$5,MATCH($E71,$B$2:$B$5,0))*$H71/SUMIFS($H:$H,$E:$E,$E71,$B:$B,$B71,AM:AM,1)*IF(B71=$B$10,0.9,1),0)</f>
        <v>250</v>
      </c>
      <c r="AX71" s="4" t="str">
        <f t="shared" si="4"/>
        <v>1,250</v>
      </c>
      <c r="AY71" s="4" t="str">
        <f t="shared" si="5"/>
        <v>1,300</v>
      </c>
      <c r="AZ71" s="4" t="str">
        <f t="shared" si="6"/>
        <v>1,300</v>
      </c>
      <c r="BA71" s="4" t="str">
        <f t="shared" si="7"/>
        <v>1,300</v>
      </c>
      <c r="BB71" s="4" t="str">
        <f t="shared" si="8"/>
        <v>1,250</v>
      </c>
      <c r="BC71" s="4" t="str">
        <f t="shared" si="9"/>
        <v>1,250</v>
      </c>
      <c r="BD71" s="4" t="str">
        <f t="shared" si="10"/>
        <v>1,250</v>
      </c>
      <c r="BE71" s="4" t="str">
        <f t="shared" si="11"/>
        <v>1,250</v>
      </c>
      <c r="BF71" s="4" t="str">
        <f t="shared" si="12"/>
        <v>1,250</v>
      </c>
      <c r="BG71" s="4" t="str">
        <f t="shared" si="13"/>
        <v>1,250</v>
      </c>
      <c r="BH71" s="4" t="str">
        <f t="shared" si="14"/>
        <v>1,250</v>
      </c>
      <c r="BI71" s="4" t="str">
        <f t="shared" si="15"/>
        <v>1,250</v>
      </c>
      <c r="BJ71" s="4" t="str">
        <f t="shared" si="16"/>
        <v>1,250</v>
      </c>
    </row>
    <row r="72" customHeight="1" spans="1:62">
      <c r="A72" s="35">
        <v>431</v>
      </c>
      <c r="B72" s="40" t="s">
        <v>50</v>
      </c>
      <c r="C72" s="40" t="s">
        <v>218</v>
      </c>
      <c r="D72" s="44" t="s">
        <v>375</v>
      </c>
      <c r="E72" s="45">
        <v>2</v>
      </c>
      <c r="F72" s="35">
        <v>1</v>
      </c>
      <c r="G72" s="35">
        <f t="shared" si="17"/>
        <v>1</v>
      </c>
      <c r="H72" s="35">
        <v>1</v>
      </c>
      <c r="I72" s="35">
        <v>1</v>
      </c>
      <c r="J72" s="35">
        <v>1</v>
      </c>
      <c r="K72" s="35">
        <v>1</v>
      </c>
      <c r="L72" s="35">
        <v>2</v>
      </c>
      <c r="M72" s="35" t="s">
        <v>136</v>
      </c>
      <c r="N72">
        <f t="shared" si="18"/>
        <v>4500</v>
      </c>
      <c r="O72" s="35">
        <v>1</v>
      </c>
      <c r="P72" s="24">
        <f>ROUND(INDEX($C$2:$C$5,MATCH($E72,$B$2:$B$5,0))*$F72/SUMIFS($F:$F,$E:$E,$E72,$B:$B,$B72,O:O,1)*IF(B72=$B$10,0.9,1),0)</f>
        <v>1125</v>
      </c>
      <c r="Q72" s="24">
        <f t="shared" ref="Q72:U72" si="276">IF($L72&lt;=Q$8,1,0)</f>
        <v>0</v>
      </c>
      <c r="R72" s="24">
        <f>ROUND(INDEX($C$2:$C$5,MATCH($E72,$B$2:$B$5,0))*$I72/SUMIFS($I:$I,$E:$E,$E72,$B:$B,$B72,Q:Q,1)*IF(B72=$B$10,0.9,1),0)</f>
        <v>1500</v>
      </c>
      <c r="S72" s="24">
        <f t="shared" si="276"/>
        <v>0</v>
      </c>
      <c r="T72" s="24">
        <f>ROUND(INDEX($C$2:$C$5,MATCH($E72,$B$2:$B$5,0))*$J72/SUMIFS($J:$J,$E:$E,$E72,$B:$B,$B72,S:S,1)*IF(B72=$B$10,0.9,1),0)</f>
        <v>1500</v>
      </c>
      <c r="U72" s="24">
        <f t="shared" si="276"/>
        <v>0</v>
      </c>
      <c r="V72" s="24">
        <f>ROUND(INDEX($C$2:$C$5,MATCH($E72,$B$2:$B$5,0))*$K72/SUMIFS($K:$K,$E:$E,$E72,$B:$B,$B72,U:U,1)*IF(B72=$B$10,0.9,1),0)</f>
        <v>1500</v>
      </c>
      <c r="W72" s="24">
        <f t="shared" ref="W72:AA72" si="277">IF($L72&lt;=W$8,1,0)</f>
        <v>1</v>
      </c>
      <c r="X72" s="24">
        <f>ROUND(INDEX($C$2:$C$5,MATCH($E72,$B$2:$B$5,0))*$F72/SUMIFS($F:$F,$E:$E,$E72,$B:$B,$B72,W:W,1)*IF(B72=$B$10,0.9,1),0)</f>
        <v>1125</v>
      </c>
      <c r="Y72" s="24">
        <f t="shared" si="277"/>
        <v>1</v>
      </c>
      <c r="Z72" s="24">
        <f>ROUND(INDEX($C$2:$C$5,MATCH($E72,$B$2:$B$5,0))*$G72/SUMIFS($G:$G,$E:$E,$E72,$B:$B,$B72,Y:Y,1)*IF(B72=$B$10,0.9,1),0)</f>
        <v>1125</v>
      </c>
      <c r="AA72" s="24">
        <f t="shared" si="277"/>
        <v>1</v>
      </c>
      <c r="AB72" s="24">
        <f>ROUND(INDEX($C$2:$C$5,MATCH($E72,$B$2:$B$5,0))*$H72/SUMIFS($H:$H,$E:$E,$E72,$B:$B,$B72,AA:AA,1)*IF(B72=$B$10,0.9,1),0)</f>
        <v>1125</v>
      </c>
      <c r="AC72" s="24">
        <f t="shared" ref="AC72:AG72" si="278">IF($L72&lt;=AC$8,1,0)</f>
        <v>1</v>
      </c>
      <c r="AD72" s="24">
        <f>ROUND(INDEX($C$2:$C$5,MATCH($E72,$B$2:$B$5,0))*$F72/SUMIFS($F:$F,$E:$E,$E72,$B:$B,$B72,AC:AC,1)*IF(B72=$B$10,0.9,1),0)</f>
        <v>1125</v>
      </c>
      <c r="AE72" s="24">
        <f t="shared" si="278"/>
        <v>1</v>
      </c>
      <c r="AF72" s="24">
        <f>ROUND(INDEX($C$2:$C$5,MATCH($E72,$B$2:$B$5,0))*$G72/SUMIFS($G:$G,$E:$E,$E72,$B:$B,$B72,AE:AE,1)*IF(B72=$B$10,0.9,1),0)</f>
        <v>1125</v>
      </c>
      <c r="AG72" s="24">
        <f t="shared" si="278"/>
        <v>1</v>
      </c>
      <c r="AH72" s="24">
        <f>ROUND(INDEX($C$2:$C$5,MATCH($E72,$B$2:$B$5,0))*$H72/SUMIFS($H:$H,$E:$E,$E72,$B:$B,$B72,AG:AG,1)*IF(B72=$B$10,0.9,1),0)</f>
        <v>1125</v>
      </c>
      <c r="AI72" s="24">
        <f t="shared" ref="AI72:AM72" si="279">IF($L72&lt;=AI$8,1,0)</f>
        <v>1</v>
      </c>
      <c r="AJ72" s="24">
        <f>ROUND(INDEX($C$2:$C$5,MATCH($E72,$B$2:$B$5,0))*$F72/SUMIFS($F:$F,$E:$E,$E72,$B:$B,$B72,AI:AI,1)*IF(B72=$B$10,0.9,1),0)</f>
        <v>1125</v>
      </c>
      <c r="AK72" s="24">
        <f t="shared" si="279"/>
        <v>1</v>
      </c>
      <c r="AL72" s="24">
        <f>ROUND(INDEX($C$2:$C$5,MATCH($E72,$B$2:$B$5,0))*$G72/SUMIFS($G:$G,$E:$E,$E72,$B:$B,$B72,AK:AK,1)*IF(B72=$B$10,0.9,1),0)</f>
        <v>1125</v>
      </c>
      <c r="AM72" s="24">
        <f t="shared" si="279"/>
        <v>1</v>
      </c>
      <c r="AN72" s="24">
        <f>ROUND(INDEX($C$2:$C$5,MATCH($E72,$B$2:$B$5,0))*$H72/SUMIFS($H:$H,$E:$E,$E72,$B:$B,$B72,AM:AM,1)*IF(B72=$B$10,0.9,1),0)</f>
        <v>1125</v>
      </c>
      <c r="AX72" s="4" t="str">
        <f t="shared" si="4"/>
        <v>1,1125</v>
      </c>
      <c r="AY72" s="4" t="str">
        <f t="shared" si="5"/>
        <v>0,1500</v>
      </c>
      <c r="AZ72" s="4" t="str">
        <f t="shared" si="6"/>
        <v>0,1500</v>
      </c>
      <c r="BA72" s="4" t="str">
        <f t="shared" si="7"/>
        <v>0,1500</v>
      </c>
      <c r="BB72" s="4" t="str">
        <f t="shared" si="8"/>
        <v>1,1125</v>
      </c>
      <c r="BC72" s="4" t="str">
        <f t="shared" si="9"/>
        <v>1,1125</v>
      </c>
      <c r="BD72" s="4" t="str">
        <f t="shared" si="10"/>
        <v>1,1125</v>
      </c>
      <c r="BE72" s="4" t="str">
        <f t="shared" si="11"/>
        <v>1,1125</v>
      </c>
      <c r="BF72" s="4" t="str">
        <f t="shared" si="12"/>
        <v>1,1125</v>
      </c>
      <c r="BG72" s="4" t="str">
        <f t="shared" si="13"/>
        <v>1,1125</v>
      </c>
      <c r="BH72" s="4" t="str">
        <f t="shared" si="14"/>
        <v>1,1125</v>
      </c>
      <c r="BI72" s="4" t="str">
        <f t="shared" si="15"/>
        <v>1,1125</v>
      </c>
      <c r="BJ72" s="4" t="str">
        <f t="shared" si="16"/>
        <v>1,1125</v>
      </c>
    </row>
    <row r="73" customHeight="1" spans="1:62">
      <c r="A73" s="35">
        <v>432</v>
      </c>
      <c r="B73" s="40" t="s">
        <v>50</v>
      </c>
      <c r="C73" s="40" t="s">
        <v>218</v>
      </c>
      <c r="D73" s="44" t="s">
        <v>381</v>
      </c>
      <c r="E73" s="45">
        <v>2</v>
      </c>
      <c r="F73" s="35">
        <v>1</v>
      </c>
      <c r="G73" s="35">
        <f t="shared" si="17"/>
        <v>1</v>
      </c>
      <c r="H73" s="35">
        <v>1</v>
      </c>
      <c r="I73" s="35">
        <v>1</v>
      </c>
      <c r="J73" s="35">
        <v>1</v>
      </c>
      <c r="K73" s="35">
        <v>1</v>
      </c>
      <c r="L73" s="35">
        <v>1</v>
      </c>
      <c r="M73" s="35"/>
      <c r="N73">
        <f t="shared" si="18"/>
        <v>4500</v>
      </c>
      <c r="O73" s="35">
        <v>1</v>
      </c>
      <c r="P73" s="24">
        <f>ROUND(INDEX($C$2:$C$5,MATCH($E73,$B$2:$B$5,0))*$F73/SUMIFS($F:$F,$E:$E,$E73,$B:$B,$B73,O:O,1)*IF(B73=$B$10,0.9,1),0)</f>
        <v>1125</v>
      </c>
      <c r="Q73" s="24">
        <f t="shared" ref="Q73:U73" si="280">IF($L73&lt;=Q$8,1,0)</f>
        <v>1</v>
      </c>
      <c r="R73" s="24">
        <f>ROUND(INDEX($C$2:$C$5,MATCH($E73,$B$2:$B$5,0))*$I73/SUMIFS($I:$I,$E:$E,$E73,$B:$B,$B73,Q:Q,1)*IF(B73=$B$10,0.9,1),0)</f>
        <v>1500</v>
      </c>
      <c r="S73" s="24">
        <f t="shared" si="280"/>
        <v>1</v>
      </c>
      <c r="T73" s="24">
        <f>ROUND(INDEX($C$2:$C$5,MATCH($E73,$B$2:$B$5,0))*$J73/SUMIFS($J:$J,$E:$E,$E73,$B:$B,$B73,S:S,1)*IF(B73=$B$10,0.9,1),0)</f>
        <v>1500</v>
      </c>
      <c r="U73" s="24">
        <f t="shared" si="280"/>
        <v>1</v>
      </c>
      <c r="V73" s="24">
        <f>ROUND(INDEX($C$2:$C$5,MATCH($E73,$B$2:$B$5,0))*$K73/SUMIFS($K:$K,$E:$E,$E73,$B:$B,$B73,U:U,1)*IF(B73=$B$10,0.9,1),0)</f>
        <v>1500</v>
      </c>
      <c r="W73" s="24">
        <f t="shared" ref="W73:AA73" si="281">IF($L73&lt;=W$8,1,0)</f>
        <v>1</v>
      </c>
      <c r="X73" s="24">
        <f>ROUND(INDEX($C$2:$C$5,MATCH($E73,$B$2:$B$5,0))*$F73/SUMIFS($F:$F,$E:$E,$E73,$B:$B,$B73,W:W,1)*IF(B73=$B$10,0.9,1),0)</f>
        <v>1125</v>
      </c>
      <c r="Y73" s="24">
        <f t="shared" si="281"/>
        <v>1</v>
      </c>
      <c r="Z73" s="24">
        <f>ROUND(INDEX($C$2:$C$5,MATCH($E73,$B$2:$B$5,0))*$G73/SUMIFS($G:$G,$E:$E,$E73,$B:$B,$B73,Y:Y,1)*IF(B73=$B$10,0.9,1),0)</f>
        <v>1125</v>
      </c>
      <c r="AA73" s="24">
        <f t="shared" si="281"/>
        <v>1</v>
      </c>
      <c r="AB73" s="24">
        <f>ROUND(INDEX($C$2:$C$5,MATCH($E73,$B$2:$B$5,0))*$H73/SUMIFS($H:$H,$E:$E,$E73,$B:$B,$B73,AA:AA,1)*IF(B73=$B$10,0.9,1),0)</f>
        <v>1125</v>
      </c>
      <c r="AC73" s="24">
        <f t="shared" ref="AC73:AG73" si="282">IF($L73&lt;=AC$8,1,0)</f>
        <v>1</v>
      </c>
      <c r="AD73" s="24">
        <f>ROUND(INDEX($C$2:$C$5,MATCH($E73,$B$2:$B$5,0))*$F73/SUMIFS($F:$F,$E:$E,$E73,$B:$B,$B73,AC:AC,1)*IF(B73=$B$10,0.9,1),0)</f>
        <v>1125</v>
      </c>
      <c r="AE73" s="24">
        <f t="shared" si="282"/>
        <v>1</v>
      </c>
      <c r="AF73" s="24">
        <f>ROUND(INDEX($C$2:$C$5,MATCH($E73,$B$2:$B$5,0))*$G73/SUMIFS($G:$G,$E:$E,$E73,$B:$B,$B73,AE:AE,1)*IF(B73=$B$10,0.9,1),0)</f>
        <v>1125</v>
      </c>
      <c r="AG73" s="24">
        <f t="shared" si="282"/>
        <v>1</v>
      </c>
      <c r="AH73" s="24">
        <f>ROUND(INDEX($C$2:$C$5,MATCH($E73,$B$2:$B$5,0))*$H73/SUMIFS($H:$H,$E:$E,$E73,$B:$B,$B73,AG:AG,1)*IF(B73=$B$10,0.9,1),0)</f>
        <v>1125</v>
      </c>
      <c r="AI73" s="24">
        <f t="shared" ref="AI73:AM73" si="283">IF($L73&lt;=AI$8,1,0)</f>
        <v>1</v>
      </c>
      <c r="AJ73" s="24">
        <f>ROUND(INDEX($C$2:$C$5,MATCH($E73,$B$2:$B$5,0))*$F73/SUMIFS($F:$F,$E:$E,$E73,$B:$B,$B73,AI:AI,1)*IF(B73=$B$10,0.9,1),0)</f>
        <v>1125</v>
      </c>
      <c r="AK73" s="24">
        <f t="shared" si="283"/>
        <v>1</v>
      </c>
      <c r="AL73" s="24">
        <f>ROUND(INDEX($C$2:$C$5,MATCH($E73,$B$2:$B$5,0))*$G73/SUMIFS($G:$G,$E:$E,$E73,$B:$B,$B73,AK:AK,1)*IF(B73=$B$10,0.9,1),0)</f>
        <v>1125</v>
      </c>
      <c r="AM73" s="24">
        <f t="shared" si="283"/>
        <v>1</v>
      </c>
      <c r="AN73" s="24">
        <f>ROUND(INDEX($C$2:$C$5,MATCH($E73,$B$2:$B$5,0))*$H73/SUMIFS($H:$H,$E:$E,$E73,$B:$B,$B73,AM:AM,1)*IF(B73=$B$10,0.9,1),0)</f>
        <v>1125</v>
      </c>
      <c r="AX73" s="4" t="str">
        <f t="shared" si="4"/>
        <v>1,1125</v>
      </c>
      <c r="AY73" s="4" t="str">
        <f t="shared" si="5"/>
        <v>1,1500</v>
      </c>
      <c r="AZ73" s="4" t="str">
        <f t="shared" si="6"/>
        <v>1,1500</v>
      </c>
      <c r="BA73" s="4" t="str">
        <f t="shared" si="7"/>
        <v>1,1500</v>
      </c>
      <c r="BB73" s="4" t="str">
        <f t="shared" si="8"/>
        <v>1,1125</v>
      </c>
      <c r="BC73" s="4" t="str">
        <f t="shared" si="9"/>
        <v>1,1125</v>
      </c>
      <c r="BD73" s="4" t="str">
        <f t="shared" si="10"/>
        <v>1,1125</v>
      </c>
      <c r="BE73" s="4" t="str">
        <f t="shared" si="11"/>
        <v>1,1125</v>
      </c>
      <c r="BF73" s="4" t="str">
        <f t="shared" si="12"/>
        <v>1,1125</v>
      </c>
      <c r="BG73" s="4" t="str">
        <f t="shared" si="13"/>
        <v>1,1125</v>
      </c>
      <c r="BH73" s="4" t="str">
        <f t="shared" si="14"/>
        <v>1,1125</v>
      </c>
      <c r="BI73" s="4" t="str">
        <f t="shared" si="15"/>
        <v>1,1125</v>
      </c>
      <c r="BJ73" s="4" t="str">
        <f t="shared" si="16"/>
        <v>1,1125</v>
      </c>
    </row>
    <row r="74" customHeight="1" spans="1:62">
      <c r="A74" s="35">
        <v>441</v>
      </c>
      <c r="B74" s="40" t="s">
        <v>50</v>
      </c>
      <c r="C74" s="40" t="s">
        <v>218</v>
      </c>
      <c r="D74" s="46" t="s">
        <v>52</v>
      </c>
      <c r="E74" s="50">
        <v>3</v>
      </c>
      <c r="F74" s="35">
        <v>1</v>
      </c>
      <c r="G74" s="35">
        <f t="shared" si="17"/>
        <v>1</v>
      </c>
      <c r="H74" s="35">
        <v>1</v>
      </c>
      <c r="I74" s="35">
        <v>1</v>
      </c>
      <c r="J74" s="35">
        <v>1</v>
      </c>
      <c r="K74" s="35">
        <v>1</v>
      </c>
      <c r="L74" s="35">
        <v>2</v>
      </c>
      <c r="M74" s="35"/>
      <c r="N74">
        <f t="shared" si="18"/>
        <v>1500</v>
      </c>
      <c r="O74" s="35">
        <v>1</v>
      </c>
      <c r="P74" s="24">
        <f>ROUND(INDEX($C$2:$C$5,MATCH($E74,$B$2:$B$5,0))*$F74/SUMIFS($F:$F,$E:$E,$E74,$B:$B,$B74,O:O,1)*IF(B74=$B$10,0.9,1),0)</f>
        <v>250</v>
      </c>
      <c r="Q74" s="24">
        <f t="shared" ref="Q74:U74" si="284">IF($L74&lt;=Q$8,1,0)</f>
        <v>0</v>
      </c>
      <c r="R74" s="24">
        <f>ROUND(INDEX($C$2:$C$5,MATCH($E74,$B$2:$B$5,0))*$I74/SUMIFS($I:$I,$E:$E,$E74,$B:$B,$B74,Q:Q,1)*IF(B74=$B$10,0.9,1),0)</f>
        <v>300</v>
      </c>
      <c r="S74" s="24">
        <f t="shared" si="284"/>
        <v>0</v>
      </c>
      <c r="T74" s="24">
        <f>ROUND(INDEX($C$2:$C$5,MATCH($E74,$B$2:$B$5,0))*$J74/SUMIFS($J:$J,$E:$E,$E74,$B:$B,$B74,S:S,1)*IF(B74=$B$10,0.9,1),0)</f>
        <v>300</v>
      </c>
      <c r="U74" s="24">
        <f t="shared" si="284"/>
        <v>0</v>
      </c>
      <c r="V74" s="24">
        <f>ROUND(INDEX($C$2:$C$5,MATCH($E74,$B$2:$B$5,0))*$K74/SUMIFS($K:$K,$E:$E,$E74,$B:$B,$B74,U:U,1)*IF(B74=$B$10,0.9,1),0)</f>
        <v>300</v>
      </c>
      <c r="W74" s="24">
        <f t="shared" ref="W74:AA74" si="285">IF($L74&lt;=W$8,1,0)</f>
        <v>1</v>
      </c>
      <c r="X74" s="24">
        <f>ROUND(INDEX($C$2:$C$5,MATCH($E74,$B$2:$B$5,0))*$F74/SUMIFS($F:$F,$E:$E,$E74,$B:$B,$B74,W:W,1)*IF(B74=$B$10,0.9,1),0)</f>
        <v>250</v>
      </c>
      <c r="Y74" s="24">
        <f t="shared" si="285"/>
        <v>1</v>
      </c>
      <c r="Z74" s="24">
        <f>ROUND(INDEX($C$2:$C$5,MATCH($E74,$B$2:$B$5,0))*$G74/SUMIFS($G:$G,$E:$E,$E74,$B:$B,$B74,Y:Y,1)*IF(B74=$B$10,0.9,1),0)</f>
        <v>250</v>
      </c>
      <c r="AA74" s="24">
        <f t="shared" si="285"/>
        <v>1</v>
      </c>
      <c r="AB74" s="24">
        <f>ROUND(INDEX($C$2:$C$5,MATCH($E74,$B$2:$B$5,0))*$H74/SUMIFS($H:$H,$E:$E,$E74,$B:$B,$B74,AA:AA,1)*IF(B74=$B$10,0.9,1),0)</f>
        <v>250</v>
      </c>
      <c r="AC74" s="24">
        <f t="shared" ref="AC74:AG74" si="286">IF($L74&lt;=AC$8,1,0)</f>
        <v>1</v>
      </c>
      <c r="AD74" s="24">
        <f>ROUND(INDEX($C$2:$C$5,MATCH($E74,$B$2:$B$5,0))*$F74/SUMIFS($F:$F,$E:$E,$E74,$B:$B,$B74,AC:AC,1)*IF(B74=$B$10,0.9,1),0)</f>
        <v>250</v>
      </c>
      <c r="AE74" s="24">
        <f t="shared" si="286"/>
        <v>1</v>
      </c>
      <c r="AF74" s="24">
        <f>ROUND(INDEX($C$2:$C$5,MATCH($E74,$B$2:$B$5,0))*$G74/SUMIFS($G:$G,$E:$E,$E74,$B:$B,$B74,AE:AE,1)*IF(B74=$B$10,0.9,1),0)</f>
        <v>250</v>
      </c>
      <c r="AG74" s="24">
        <f t="shared" si="286"/>
        <v>1</v>
      </c>
      <c r="AH74" s="24">
        <f>ROUND(INDEX($C$2:$C$5,MATCH($E74,$B$2:$B$5,0))*$H74/SUMIFS($H:$H,$E:$E,$E74,$B:$B,$B74,AG:AG,1)*IF(B74=$B$10,0.9,1),0)</f>
        <v>250</v>
      </c>
      <c r="AI74" s="24">
        <f t="shared" ref="AI74:AM74" si="287">IF($L74&lt;=AI$8,1,0)</f>
        <v>1</v>
      </c>
      <c r="AJ74" s="24">
        <f>ROUND(INDEX($C$2:$C$5,MATCH($E74,$B$2:$B$5,0))*$F74/SUMIFS($F:$F,$E:$E,$E74,$B:$B,$B74,AI:AI,1)*IF(B74=$B$10,0.9,1),0)</f>
        <v>250</v>
      </c>
      <c r="AK74" s="24">
        <f t="shared" si="287"/>
        <v>1</v>
      </c>
      <c r="AL74" s="24">
        <f>ROUND(INDEX($C$2:$C$5,MATCH($E74,$B$2:$B$5,0))*$G74/SUMIFS($G:$G,$E:$E,$E74,$B:$B,$B74,AK:AK,1)*IF(B74=$B$10,0.9,1),0)</f>
        <v>250</v>
      </c>
      <c r="AM74" s="24">
        <f t="shared" si="287"/>
        <v>1</v>
      </c>
      <c r="AN74" s="24">
        <f>ROUND(INDEX($C$2:$C$5,MATCH($E74,$B$2:$B$5,0))*$H74/SUMIFS($H:$H,$E:$E,$E74,$B:$B,$B74,AM:AM,1)*IF(B74=$B$10,0.9,1),0)</f>
        <v>250</v>
      </c>
      <c r="AX74" s="4" t="str">
        <f t="shared" ref="AX74:AX137" si="288">_xlfn.TEXTJOIN(",",TRUE,O74:P74)</f>
        <v>1,250</v>
      </c>
      <c r="AY74" s="4" t="str">
        <f t="shared" ref="AY74:AY137" si="289">_xlfn.TEXTJOIN(",",TRUE,Q74:R74)</f>
        <v>0,300</v>
      </c>
      <c r="AZ74" s="4" t="str">
        <f t="shared" ref="AZ74:AZ137" si="290">_xlfn.TEXTJOIN(",",TRUE,S74:T74)</f>
        <v>0,300</v>
      </c>
      <c r="BA74" s="4" t="str">
        <f t="shared" ref="BA74:BA137" si="291">_xlfn.TEXTJOIN(",",TRUE,U74:V74)</f>
        <v>0,300</v>
      </c>
      <c r="BB74" s="4" t="str">
        <f t="shared" ref="BB74:BB137" si="292">_xlfn.TEXTJOIN(",",TRUE,W74:X74)</f>
        <v>1,250</v>
      </c>
      <c r="BC74" s="4" t="str">
        <f t="shared" ref="BC74:BC137" si="293">_xlfn.TEXTJOIN(",",TRUE,Y74:Z74)</f>
        <v>1,250</v>
      </c>
      <c r="BD74" s="4" t="str">
        <f t="shared" ref="BD74:BD137" si="294">_xlfn.TEXTJOIN(",",TRUE,AA74:AB74)</f>
        <v>1,250</v>
      </c>
      <c r="BE74" s="4" t="str">
        <f t="shared" ref="BE74:BE137" si="295">_xlfn.TEXTJOIN(",",TRUE,AC74:AD74)</f>
        <v>1,250</v>
      </c>
      <c r="BF74" s="4" t="str">
        <f t="shared" ref="BF74:BF137" si="296">_xlfn.TEXTJOIN(",",TRUE,AE74:AF74)</f>
        <v>1,250</v>
      </c>
      <c r="BG74" s="4" t="str">
        <f t="shared" ref="BG74:BG137" si="297">_xlfn.TEXTJOIN(",",TRUE,AG74:AH74)</f>
        <v>1,250</v>
      </c>
      <c r="BH74" s="4" t="str">
        <f t="shared" ref="BH74:BH137" si="298">_xlfn.TEXTJOIN(",",TRUE,AI74:AJ74)</f>
        <v>1,250</v>
      </c>
      <c r="BI74" s="4" t="str">
        <f t="shared" ref="BI74:BI137" si="299">_xlfn.TEXTJOIN(",",TRUE,AK74:AL74)</f>
        <v>1,250</v>
      </c>
      <c r="BJ74" s="4" t="str">
        <f t="shared" ref="BJ74:BJ137" si="300">_xlfn.TEXTJOIN(",",TRUE,AM74:AN74)</f>
        <v>1,250</v>
      </c>
    </row>
    <row r="75" customHeight="1" spans="1:62">
      <c r="A75" s="35">
        <v>442</v>
      </c>
      <c r="B75" s="40" t="s">
        <v>50</v>
      </c>
      <c r="C75" s="40"/>
      <c r="D75" s="46" t="s">
        <v>382</v>
      </c>
      <c r="E75" s="35">
        <v>3</v>
      </c>
      <c r="F75" s="35">
        <v>1</v>
      </c>
      <c r="G75" s="35">
        <f t="shared" ref="G75:G138" si="301">IF(F75&lt;1,F75*$G$7,1)</f>
        <v>1</v>
      </c>
      <c r="H75" s="35">
        <v>1</v>
      </c>
      <c r="I75" s="35">
        <v>1</v>
      </c>
      <c r="J75" s="35">
        <v>1</v>
      </c>
      <c r="K75" s="35">
        <v>1</v>
      </c>
      <c r="L75" s="35">
        <v>1</v>
      </c>
      <c r="M75" s="35"/>
      <c r="N75">
        <f t="shared" ref="N75:N138" si="302">INDEX($C$2:$C$5,MATCH(E75,$B$2:$B$5,0))</f>
        <v>1500</v>
      </c>
      <c r="O75" s="35">
        <v>1</v>
      </c>
      <c r="P75" s="24">
        <f>ROUND(INDEX($C$2:$C$5,MATCH($E75,$B$2:$B$5,0))*$F75/SUMIFS($F:$F,$E:$E,$E75,$B:$B,$B75,O:O,1)*IF(B75=$B$10,0.9,1),0)</f>
        <v>250</v>
      </c>
      <c r="Q75" s="24">
        <f t="shared" ref="Q75:U75" si="303">IF($L75&lt;=Q$8,1,0)</f>
        <v>1</v>
      </c>
      <c r="R75" s="24">
        <f>ROUND(INDEX($C$2:$C$5,MATCH($E75,$B$2:$B$5,0))*$I75/SUMIFS($I:$I,$E:$E,$E75,$B:$B,$B75,Q:Q,1)*IF(B75=$B$10,0.9,1),0)</f>
        <v>300</v>
      </c>
      <c r="S75" s="24">
        <f t="shared" si="303"/>
        <v>1</v>
      </c>
      <c r="T75" s="24">
        <f>ROUND(INDEX($C$2:$C$5,MATCH($E75,$B$2:$B$5,0))*$J75/SUMIFS($J:$J,$E:$E,$E75,$B:$B,$B75,S:S,1)*IF(B75=$B$10,0.9,1),0)</f>
        <v>300</v>
      </c>
      <c r="U75" s="24">
        <f t="shared" si="303"/>
        <v>1</v>
      </c>
      <c r="V75" s="24">
        <f>ROUND(INDEX($C$2:$C$5,MATCH($E75,$B$2:$B$5,0))*$K75/SUMIFS($K:$K,$E:$E,$E75,$B:$B,$B75,U:U,1)*IF(B75=$B$10,0.9,1),0)</f>
        <v>300</v>
      </c>
      <c r="W75" s="24">
        <f t="shared" ref="W75:AA75" si="304">IF($L75&lt;=W$8,1,0)</f>
        <v>1</v>
      </c>
      <c r="X75" s="24">
        <f>ROUND(INDEX($C$2:$C$5,MATCH($E75,$B$2:$B$5,0))*$F75/SUMIFS($F:$F,$E:$E,$E75,$B:$B,$B75,W:W,1)*IF(B75=$B$10,0.9,1),0)</f>
        <v>250</v>
      </c>
      <c r="Y75" s="24">
        <f t="shared" si="304"/>
        <v>1</v>
      </c>
      <c r="Z75" s="24">
        <f>ROUND(INDEX($C$2:$C$5,MATCH($E75,$B$2:$B$5,0))*$G75/SUMIFS($G:$G,$E:$E,$E75,$B:$B,$B75,Y:Y,1)*IF(B75=$B$10,0.9,1),0)</f>
        <v>250</v>
      </c>
      <c r="AA75" s="24">
        <f t="shared" si="304"/>
        <v>1</v>
      </c>
      <c r="AB75" s="24">
        <f>ROUND(INDEX($C$2:$C$5,MATCH($E75,$B$2:$B$5,0))*$H75/SUMIFS($H:$H,$E:$E,$E75,$B:$B,$B75,AA:AA,1)*IF(B75=$B$10,0.9,1),0)</f>
        <v>250</v>
      </c>
      <c r="AC75" s="24">
        <f t="shared" ref="AC75:AG75" si="305">IF($L75&lt;=AC$8,1,0)</f>
        <v>1</v>
      </c>
      <c r="AD75" s="24">
        <f>ROUND(INDEX($C$2:$C$5,MATCH($E75,$B$2:$B$5,0))*$F75/SUMIFS($F:$F,$E:$E,$E75,$B:$B,$B75,AC:AC,1)*IF(B75=$B$10,0.9,1),0)</f>
        <v>250</v>
      </c>
      <c r="AE75" s="24">
        <f t="shared" si="305"/>
        <v>1</v>
      </c>
      <c r="AF75" s="24">
        <f>ROUND(INDEX($C$2:$C$5,MATCH($E75,$B$2:$B$5,0))*$G75/SUMIFS($G:$G,$E:$E,$E75,$B:$B,$B75,AE:AE,1)*IF(B75=$B$10,0.9,1),0)</f>
        <v>250</v>
      </c>
      <c r="AG75" s="24">
        <f t="shared" si="305"/>
        <v>1</v>
      </c>
      <c r="AH75" s="24">
        <f>ROUND(INDEX($C$2:$C$5,MATCH($E75,$B$2:$B$5,0))*$H75/SUMIFS($H:$H,$E:$E,$E75,$B:$B,$B75,AG:AG,1)*IF(B75=$B$10,0.9,1),0)</f>
        <v>250</v>
      </c>
      <c r="AI75" s="24">
        <f t="shared" ref="AI75:AM75" si="306">IF($L75&lt;=AI$8,1,0)</f>
        <v>1</v>
      </c>
      <c r="AJ75" s="24">
        <f>ROUND(INDEX($C$2:$C$5,MATCH($E75,$B$2:$B$5,0))*$F75/SUMIFS($F:$F,$E:$E,$E75,$B:$B,$B75,AI:AI,1)*IF(B75=$B$10,0.9,1),0)</f>
        <v>250</v>
      </c>
      <c r="AK75" s="24">
        <f t="shared" si="306"/>
        <v>1</v>
      </c>
      <c r="AL75" s="24">
        <f>ROUND(INDEX($C$2:$C$5,MATCH($E75,$B$2:$B$5,0))*$G75/SUMIFS($G:$G,$E:$E,$E75,$B:$B,$B75,AK:AK,1)*IF(B75=$B$10,0.9,1),0)</f>
        <v>250</v>
      </c>
      <c r="AM75" s="24">
        <f t="shared" si="306"/>
        <v>1</v>
      </c>
      <c r="AN75" s="24">
        <f>ROUND(INDEX($C$2:$C$5,MATCH($E75,$B$2:$B$5,0))*$H75/SUMIFS($H:$H,$E:$E,$E75,$B:$B,$B75,AM:AM,1)*IF(B75=$B$10,0.9,1),0)</f>
        <v>250</v>
      </c>
      <c r="AX75" s="4" t="str">
        <f t="shared" si="288"/>
        <v>1,250</v>
      </c>
      <c r="AY75" s="4" t="str">
        <f t="shared" si="289"/>
        <v>1,300</v>
      </c>
      <c r="AZ75" s="4" t="str">
        <f t="shared" si="290"/>
        <v>1,300</v>
      </c>
      <c r="BA75" s="4" t="str">
        <f t="shared" si="291"/>
        <v>1,300</v>
      </c>
      <c r="BB75" s="4" t="str">
        <f t="shared" si="292"/>
        <v>1,250</v>
      </c>
      <c r="BC75" s="4" t="str">
        <f t="shared" si="293"/>
        <v>1,250</v>
      </c>
      <c r="BD75" s="4" t="str">
        <f t="shared" si="294"/>
        <v>1,250</v>
      </c>
      <c r="BE75" s="4" t="str">
        <f t="shared" si="295"/>
        <v>1,250</v>
      </c>
      <c r="BF75" s="4" t="str">
        <f t="shared" si="296"/>
        <v>1,250</v>
      </c>
      <c r="BG75" s="4" t="str">
        <f t="shared" si="297"/>
        <v>1,250</v>
      </c>
      <c r="BH75" s="4" t="str">
        <f t="shared" si="298"/>
        <v>1,250</v>
      </c>
      <c r="BI75" s="4" t="str">
        <f t="shared" si="299"/>
        <v>1,250</v>
      </c>
      <c r="BJ75" s="4" t="str">
        <f t="shared" si="300"/>
        <v>1,250</v>
      </c>
    </row>
    <row r="76" customHeight="1" spans="1:62">
      <c r="A76" s="35">
        <v>451</v>
      </c>
      <c r="B76" s="40" t="s">
        <v>50</v>
      </c>
      <c r="C76" s="40"/>
      <c r="D76" s="47" t="s">
        <v>149</v>
      </c>
      <c r="E76" s="43">
        <v>4</v>
      </c>
      <c r="F76" s="35">
        <v>1</v>
      </c>
      <c r="G76" s="35">
        <f t="shared" si="301"/>
        <v>1</v>
      </c>
      <c r="H76" s="35">
        <v>1</v>
      </c>
      <c r="I76" s="35">
        <v>1</v>
      </c>
      <c r="J76" s="35">
        <v>1</v>
      </c>
      <c r="K76" s="35">
        <v>1</v>
      </c>
      <c r="L76" s="35">
        <v>3</v>
      </c>
      <c r="M76" s="35"/>
      <c r="N76">
        <f t="shared" si="302"/>
        <v>500</v>
      </c>
      <c r="O76" s="35">
        <v>1</v>
      </c>
      <c r="P76" s="24">
        <f>ROUND(INDEX($C$2:$C$5,MATCH($E76,$B$2:$B$5,0))*$F76/SUMIFS($F:$F,$E:$E,$E76,$B:$B,$B76,O:O,1)*IF(B76=$B$10,0.9,1),0)</f>
        <v>250</v>
      </c>
      <c r="Q76" s="24">
        <f t="shared" ref="Q76:U76" si="307">IF($L76&lt;=Q$8,1,0)</f>
        <v>0</v>
      </c>
      <c r="R76" s="24">
        <f>ROUND(INDEX($C$2:$C$5,MATCH($E76,$B$2:$B$5,0))*$I76/SUMIFS($I:$I,$E:$E,$E76,$B:$B,$B76,Q:Q,1)*IF(B76=$B$10,0.9,1),0)</f>
        <v>500</v>
      </c>
      <c r="S76" s="24">
        <f t="shared" si="307"/>
        <v>0</v>
      </c>
      <c r="T76" s="24">
        <f>ROUND(INDEX($C$2:$C$5,MATCH($E76,$B$2:$B$5,0))*$J76/SUMIFS($J:$J,$E:$E,$E76,$B:$B,$B76,S:S,1)*IF(B76=$B$10,0.9,1),0)</f>
        <v>500</v>
      </c>
      <c r="U76" s="24">
        <f t="shared" si="307"/>
        <v>0</v>
      </c>
      <c r="V76" s="24">
        <f>ROUND(INDEX($C$2:$C$5,MATCH($E76,$B$2:$B$5,0))*$K76/SUMIFS($K:$K,$E:$E,$E76,$B:$B,$B76,U:U,1)*IF(B76=$B$10,0.9,1),0)</f>
        <v>500</v>
      </c>
      <c r="W76" s="24">
        <f t="shared" ref="W76:AA76" si="308">IF($L76&lt;=W$8,1,0)</f>
        <v>0</v>
      </c>
      <c r="X76" s="24">
        <f>ROUND(INDEX($C$2:$C$5,MATCH($E76,$B$2:$B$5,0))*$F76/SUMIFS($F:$F,$E:$E,$E76,$B:$B,$B76,W:W,1)*IF(B76=$B$10,0.9,1),0)</f>
        <v>500</v>
      </c>
      <c r="Y76" s="24">
        <f t="shared" si="308"/>
        <v>0</v>
      </c>
      <c r="Z76" s="24">
        <f>ROUND(INDEX($C$2:$C$5,MATCH($E76,$B$2:$B$5,0))*$G76/SUMIFS($G:$G,$E:$E,$E76,$B:$B,$B76,Y:Y,1)*IF(B76=$B$10,0.9,1),0)</f>
        <v>500</v>
      </c>
      <c r="AA76" s="24">
        <f t="shared" si="308"/>
        <v>0</v>
      </c>
      <c r="AB76" s="24">
        <f>ROUND(INDEX($C$2:$C$5,MATCH($E76,$B$2:$B$5,0))*$H76/SUMIFS($H:$H,$E:$E,$E76,$B:$B,$B76,AA:AA,1)*IF(B76=$B$10,0.9,1),0)</f>
        <v>500</v>
      </c>
      <c r="AC76" s="24">
        <f t="shared" ref="AC76:AG76" si="309">IF($L76&lt;=AC$8,1,0)</f>
        <v>1</v>
      </c>
      <c r="AD76" s="24">
        <f>ROUND(INDEX($C$2:$C$5,MATCH($E76,$B$2:$B$5,0))*$F76/SUMIFS($F:$F,$E:$E,$E76,$B:$B,$B76,AC:AC,1)*IF(B76=$B$10,0.9,1),0)</f>
        <v>250</v>
      </c>
      <c r="AE76" s="24">
        <f t="shared" si="309"/>
        <v>1</v>
      </c>
      <c r="AF76" s="24">
        <f>ROUND(INDEX($C$2:$C$5,MATCH($E76,$B$2:$B$5,0))*$G76/SUMIFS($G:$G,$E:$E,$E76,$B:$B,$B76,AE:AE,1)*IF(B76=$B$10,0.9,1),0)</f>
        <v>250</v>
      </c>
      <c r="AG76" s="24">
        <f t="shared" si="309"/>
        <v>1</v>
      </c>
      <c r="AH76" s="24">
        <f>ROUND(INDEX($C$2:$C$5,MATCH($E76,$B$2:$B$5,0))*$H76/SUMIFS($H:$H,$E:$E,$E76,$B:$B,$B76,AG:AG,1)*IF(B76=$B$10,0.9,1),0)</f>
        <v>250</v>
      </c>
      <c r="AI76" s="24">
        <f t="shared" ref="AI76:AM76" si="310">IF($L76&lt;=AI$8,1,0)</f>
        <v>1</v>
      </c>
      <c r="AJ76" s="24">
        <f>ROUND(INDEX($C$2:$C$5,MATCH($E76,$B$2:$B$5,0))*$F76/SUMIFS($F:$F,$E:$E,$E76,$B:$B,$B76,AI:AI,1)*IF(B76=$B$10,0.9,1),0)</f>
        <v>250</v>
      </c>
      <c r="AK76" s="24">
        <f t="shared" si="310"/>
        <v>1</v>
      </c>
      <c r="AL76" s="24">
        <f>ROUND(INDEX($C$2:$C$5,MATCH($E76,$B$2:$B$5,0))*$G76/SUMIFS($G:$G,$E:$E,$E76,$B:$B,$B76,AK:AK,1)*IF(B76=$B$10,0.9,1),0)</f>
        <v>250</v>
      </c>
      <c r="AM76" s="24">
        <f t="shared" si="310"/>
        <v>1</v>
      </c>
      <c r="AN76" s="24">
        <f>ROUND(INDEX($C$2:$C$5,MATCH($E76,$B$2:$B$5,0))*$H76/SUMIFS($H:$H,$E:$E,$E76,$B:$B,$B76,AM:AM,1)*IF(B76=$B$10,0.9,1),0)</f>
        <v>250</v>
      </c>
      <c r="AX76" s="4" t="str">
        <f t="shared" si="288"/>
        <v>1,250</v>
      </c>
      <c r="AY76" s="4" t="str">
        <f t="shared" si="289"/>
        <v>0,500</v>
      </c>
      <c r="AZ76" s="4" t="str">
        <f t="shared" si="290"/>
        <v>0,500</v>
      </c>
      <c r="BA76" s="4" t="str">
        <f t="shared" si="291"/>
        <v>0,500</v>
      </c>
      <c r="BB76" s="4" t="str">
        <f t="shared" si="292"/>
        <v>0,500</v>
      </c>
      <c r="BC76" s="4" t="str">
        <f t="shared" si="293"/>
        <v>0,500</v>
      </c>
      <c r="BD76" s="4" t="str">
        <f t="shared" si="294"/>
        <v>0,500</v>
      </c>
      <c r="BE76" s="4" t="str">
        <f t="shared" si="295"/>
        <v>1,250</v>
      </c>
      <c r="BF76" s="4" t="str">
        <f t="shared" si="296"/>
        <v>1,250</v>
      </c>
      <c r="BG76" s="4" t="str">
        <f t="shared" si="297"/>
        <v>1,250</v>
      </c>
      <c r="BH76" s="4" t="str">
        <f t="shared" si="298"/>
        <v>1,250</v>
      </c>
      <c r="BI76" s="4" t="str">
        <f t="shared" si="299"/>
        <v>1,250</v>
      </c>
      <c r="BJ76" s="4" t="str">
        <f t="shared" si="300"/>
        <v>1,250</v>
      </c>
    </row>
    <row r="77" customHeight="1" spans="1:62">
      <c r="A77" s="35">
        <v>452</v>
      </c>
      <c r="B77" s="40" t="s">
        <v>50</v>
      </c>
      <c r="C77" s="40"/>
      <c r="D77" s="48" t="s">
        <v>383</v>
      </c>
      <c r="E77" s="43">
        <v>4</v>
      </c>
      <c r="F77" s="35">
        <v>1</v>
      </c>
      <c r="G77" s="35">
        <f t="shared" si="301"/>
        <v>1</v>
      </c>
      <c r="H77" s="35">
        <v>1</v>
      </c>
      <c r="I77" s="35">
        <v>1</v>
      </c>
      <c r="J77" s="35">
        <v>1</v>
      </c>
      <c r="K77" s="35">
        <v>1</v>
      </c>
      <c r="L77" s="35">
        <v>1</v>
      </c>
      <c r="M77" s="35"/>
      <c r="N77">
        <f t="shared" si="302"/>
        <v>500</v>
      </c>
      <c r="O77" s="35">
        <v>1</v>
      </c>
      <c r="P77" s="24">
        <f>ROUND(INDEX($C$2:$C$5,MATCH($E77,$B$2:$B$5,0))*$F77/SUMIFS($F:$F,$E:$E,$E77,$B:$B,$B77,O:O,1)*IF(B77=$B$10,0.9,1),0)</f>
        <v>250</v>
      </c>
      <c r="Q77" s="24">
        <f t="shared" ref="Q77:U77" si="311">IF($L77&lt;=Q$8,1,0)</f>
        <v>1</v>
      </c>
      <c r="R77" s="24">
        <f>ROUND(INDEX($C$2:$C$5,MATCH($E77,$B$2:$B$5,0))*$I77/SUMIFS($I:$I,$E:$E,$E77,$B:$B,$B77,Q:Q,1)*IF(B77=$B$10,0.9,1),0)</f>
        <v>500</v>
      </c>
      <c r="S77" s="24">
        <f t="shared" si="311"/>
        <v>1</v>
      </c>
      <c r="T77" s="24">
        <f>ROUND(INDEX($C$2:$C$5,MATCH($E77,$B$2:$B$5,0))*$J77/SUMIFS($J:$J,$E:$E,$E77,$B:$B,$B77,S:S,1)*IF(B77=$B$10,0.9,1),0)</f>
        <v>500</v>
      </c>
      <c r="U77" s="24">
        <f t="shared" si="311"/>
        <v>1</v>
      </c>
      <c r="V77" s="24">
        <f>ROUND(INDEX($C$2:$C$5,MATCH($E77,$B$2:$B$5,0))*$K77/SUMIFS($K:$K,$E:$E,$E77,$B:$B,$B77,U:U,1)*IF(B77=$B$10,0.9,1),0)</f>
        <v>500</v>
      </c>
      <c r="W77" s="24">
        <f t="shared" ref="W77:AA77" si="312">IF($L77&lt;=W$8,1,0)</f>
        <v>1</v>
      </c>
      <c r="X77" s="24">
        <f>ROUND(INDEX($C$2:$C$5,MATCH($E77,$B$2:$B$5,0))*$F77/SUMIFS($F:$F,$E:$E,$E77,$B:$B,$B77,W:W,1)*IF(B77=$B$10,0.9,1),0)</f>
        <v>500</v>
      </c>
      <c r="Y77" s="24">
        <f t="shared" si="312"/>
        <v>1</v>
      </c>
      <c r="Z77" s="24">
        <f>ROUND(INDEX($C$2:$C$5,MATCH($E77,$B$2:$B$5,0))*$G77/SUMIFS($G:$G,$E:$E,$E77,$B:$B,$B77,Y:Y,1)*IF(B77=$B$10,0.9,1),0)</f>
        <v>500</v>
      </c>
      <c r="AA77" s="24">
        <f t="shared" si="312"/>
        <v>1</v>
      </c>
      <c r="AB77" s="24">
        <f>ROUND(INDEX($C$2:$C$5,MATCH($E77,$B$2:$B$5,0))*$H77/SUMIFS($H:$H,$E:$E,$E77,$B:$B,$B77,AA:AA,1)*IF(B77=$B$10,0.9,1),0)</f>
        <v>500</v>
      </c>
      <c r="AC77" s="24">
        <f t="shared" ref="AC77:AG77" si="313">IF($L77&lt;=AC$8,1,0)</f>
        <v>1</v>
      </c>
      <c r="AD77" s="24">
        <f>ROUND(INDEX($C$2:$C$5,MATCH($E77,$B$2:$B$5,0))*$F77/SUMIFS($F:$F,$E:$E,$E77,$B:$B,$B77,AC:AC,1)*IF(B77=$B$10,0.9,1),0)</f>
        <v>250</v>
      </c>
      <c r="AE77" s="24">
        <f t="shared" si="313"/>
        <v>1</v>
      </c>
      <c r="AF77" s="24">
        <f>ROUND(INDEX($C$2:$C$5,MATCH($E77,$B$2:$B$5,0))*$G77/SUMIFS($G:$G,$E:$E,$E77,$B:$B,$B77,AE:AE,1)*IF(B77=$B$10,0.9,1),0)</f>
        <v>250</v>
      </c>
      <c r="AG77" s="24">
        <f t="shared" si="313"/>
        <v>1</v>
      </c>
      <c r="AH77" s="24">
        <f>ROUND(INDEX($C$2:$C$5,MATCH($E77,$B$2:$B$5,0))*$H77/SUMIFS($H:$H,$E:$E,$E77,$B:$B,$B77,AG:AG,1)*IF(B77=$B$10,0.9,1),0)</f>
        <v>250</v>
      </c>
      <c r="AI77" s="24">
        <f t="shared" ref="AI77:AM77" si="314">IF($L77&lt;=AI$8,1,0)</f>
        <v>1</v>
      </c>
      <c r="AJ77" s="24">
        <f>ROUND(INDEX($C$2:$C$5,MATCH($E77,$B$2:$B$5,0))*$F77/SUMIFS($F:$F,$E:$E,$E77,$B:$B,$B77,AI:AI,1)*IF(B77=$B$10,0.9,1),0)</f>
        <v>250</v>
      </c>
      <c r="AK77" s="24">
        <f t="shared" si="314"/>
        <v>1</v>
      </c>
      <c r="AL77" s="24">
        <f>ROUND(INDEX($C$2:$C$5,MATCH($E77,$B$2:$B$5,0))*$G77/SUMIFS($G:$G,$E:$E,$E77,$B:$B,$B77,AK:AK,1)*IF(B77=$B$10,0.9,1),0)</f>
        <v>250</v>
      </c>
      <c r="AM77" s="24">
        <f t="shared" si="314"/>
        <v>1</v>
      </c>
      <c r="AN77" s="24">
        <f>ROUND(INDEX($C$2:$C$5,MATCH($E77,$B$2:$B$5,0))*$H77/SUMIFS($H:$H,$E:$E,$E77,$B:$B,$B77,AM:AM,1)*IF(B77=$B$10,0.9,1),0)</f>
        <v>250</v>
      </c>
      <c r="AX77" s="4" t="str">
        <f t="shared" si="288"/>
        <v>1,250</v>
      </c>
      <c r="AY77" s="4" t="str">
        <f t="shared" si="289"/>
        <v>1,500</v>
      </c>
      <c r="AZ77" s="4" t="str">
        <f t="shared" si="290"/>
        <v>1,500</v>
      </c>
      <c r="BA77" s="4" t="str">
        <f t="shared" si="291"/>
        <v>1,500</v>
      </c>
      <c r="BB77" s="4" t="str">
        <f t="shared" si="292"/>
        <v>1,500</v>
      </c>
      <c r="BC77" s="4" t="str">
        <f t="shared" si="293"/>
        <v>1,500</v>
      </c>
      <c r="BD77" s="4" t="str">
        <f t="shared" si="294"/>
        <v>1,500</v>
      </c>
      <c r="BE77" s="4" t="str">
        <f t="shared" si="295"/>
        <v>1,250</v>
      </c>
      <c r="BF77" s="4" t="str">
        <f t="shared" si="296"/>
        <v>1,250</v>
      </c>
      <c r="BG77" s="4" t="str">
        <f t="shared" si="297"/>
        <v>1,250</v>
      </c>
      <c r="BH77" s="4" t="str">
        <f t="shared" si="298"/>
        <v>1,250</v>
      </c>
      <c r="BI77" s="4" t="str">
        <f t="shared" si="299"/>
        <v>1,250</v>
      </c>
      <c r="BJ77" s="4" t="str">
        <f t="shared" si="300"/>
        <v>1,250</v>
      </c>
    </row>
    <row r="78" customHeight="1" spans="1:62">
      <c r="A78" s="35">
        <v>501</v>
      </c>
      <c r="B78" s="40" t="s">
        <v>55</v>
      </c>
      <c r="C78" s="40"/>
      <c r="D78" s="41" t="s">
        <v>356</v>
      </c>
      <c r="E78" s="43">
        <v>1</v>
      </c>
      <c r="F78" s="35">
        <v>1</v>
      </c>
      <c r="G78" s="35">
        <f t="shared" si="301"/>
        <v>1</v>
      </c>
      <c r="H78" s="35">
        <v>1</v>
      </c>
      <c r="I78" s="35">
        <v>1</v>
      </c>
      <c r="J78" s="35">
        <v>1</v>
      </c>
      <c r="K78" s="35">
        <v>1</v>
      </c>
      <c r="L78" s="35">
        <v>1</v>
      </c>
      <c r="M78" s="35"/>
      <c r="N78">
        <f t="shared" si="302"/>
        <v>13500</v>
      </c>
      <c r="O78" s="35">
        <v>1</v>
      </c>
      <c r="P78" s="24">
        <f>ROUND(INDEX($C$2:$C$5,MATCH($E78,$B$2:$B$5,0))*$F78/SUMIFS($F:$F,$E:$E,$E78,$B:$B,$B78,O:O,1)*IF(B78=$B$10,0.9,1),0)</f>
        <v>4500</v>
      </c>
      <c r="Q78" s="24">
        <f t="shared" ref="Q78:U78" si="315">IF($L78&lt;=Q$8,1,0)</f>
        <v>1</v>
      </c>
      <c r="R78" s="24">
        <f>ROUND(INDEX($C$2:$C$5,MATCH($E78,$B$2:$B$5,0))*$I78/SUMIFS($I:$I,$E:$E,$E78,$B:$B,$B78,Q:Q,1)*IF(B78=$B$10,0.9,1),0)</f>
        <v>4500</v>
      </c>
      <c r="S78" s="24">
        <f t="shared" si="315"/>
        <v>1</v>
      </c>
      <c r="T78" s="24">
        <f>ROUND(INDEX($C$2:$C$5,MATCH($E78,$B$2:$B$5,0))*$J78/SUMIFS($J:$J,$E:$E,$E78,$B:$B,$B78,S:S,1)*IF(B78=$B$10,0.9,1),0)</f>
        <v>4500</v>
      </c>
      <c r="U78" s="24">
        <f t="shared" si="315"/>
        <v>1</v>
      </c>
      <c r="V78" s="24">
        <f>ROUND(INDEX($C$2:$C$5,MATCH($E78,$B$2:$B$5,0))*$K78/SUMIFS($K:$K,$E:$E,$E78,$B:$B,$B78,U:U,1)*IF(B78=$B$10,0.9,1),0)</f>
        <v>4500</v>
      </c>
      <c r="W78" s="24">
        <f t="shared" ref="W78:AA78" si="316">IF($L78&lt;=W$8,1,0)</f>
        <v>1</v>
      </c>
      <c r="X78" s="24">
        <f>ROUND(INDEX($C$2:$C$5,MATCH($E78,$B$2:$B$5,0))*$F78/SUMIFS($F:$F,$E:$E,$E78,$B:$B,$B78,W:W,1)*IF(B78=$B$10,0.9,1),0)</f>
        <v>4500</v>
      </c>
      <c r="Y78" s="24">
        <f t="shared" si="316"/>
        <v>1</v>
      </c>
      <c r="Z78" s="24">
        <f>ROUND(INDEX($C$2:$C$5,MATCH($E78,$B$2:$B$5,0))*$G78/SUMIFS($G:$G,$E:$E,$E78,$B:$B,$B78,Y:Y,1)*IF(B78=$B$10,0.9,1),0)</f>
        <v>4500</v>
      </c>
      <c r="AA78" s="24">
        <f t="shared" si="316"/>
        <v>1</v>
      </c>
      <c r="AB78" s="24">
        <f>ROUND(INDEX($C$2:$C$5,MATCH($E78,$B$2:$B$5,0))*$H78/SUMIFS($H:$H,$E:$E,$E78,$B:$B,$B78,AA:AA,1)*IF(B78=$B$10,0.9,1),0)</f>
        <v>4500</v>
      </c>
      <c r="AC78" s="24">
        <f t="shared" ref="AC78:AG78" si="317">IF($L78&lt;=AC$8,1,0)</f>
        <v>1</v>
      </c>
      <c r="AD78" s="24">
        <f>ROUND(INDEX($C$2:$C$5,MATCH($E78,$B$2:$B$5,0))*$F78/SUMIFS($F:$F,$E:$E,$E78,$B:$B,$B78,AC:AC,1)*IF(B78=$B$10,0.9,1),0)</f>
        <v>4500</v>
      </c>
      <c r="AE78" s="24">
        <f t="shared" si="317"/>
        <v>1</v>
      </c>
      <c r="AF78" s="24">
        <f>ROUND(INDEX($C$2:$C$5,MATCH($E78,$B$2:$B$5,0))*$G78/SUMIFS($G:$G,$E:$E,$E78,$B:$B,$B78,AE:AE,1)*IF(B78=$B$10,0.9,1),0)</f>
        <v>4500</v>
      </c>
      <c r="AG78" s="24">
        <f t="shared" si="317"/>
        <v>1</v>
      </c>
      <c r="AH78" s="24">
        <f>ROUND(INDEX($C$2:$C$5,MATCH($E78,$B$2:$B$5,0))*$H78/SUMIFS($H:$H,$E:$E,$E78,$B:$B,$B78,AG:AG,1)*IF(B78=$B$10,0.9,1),0)</f>
        <v>4500</v>
      </c>
      <c r="AI78" s="24">
        <f t="shared" ref="AI78:AM78" si="318">IF($L78&lt;=AI$8,1,0)</f>
        <v>1</v>
      </c>
      <c r="AJ78" s="24">
        <f>ROUND(INDEX($C$2:$C$5,MATCH($E78,$B$2:$B$5,0))*$F78/SUMIFS($F:$F,$E:$E,$E78,$B:$B,$B78,AI:AI,1)*IF(B78=$B$10,0.9,1),0)</f>
        <v>4500</v>
      </c>
      <c r="AK78" s="24">
        <f t="shared" si="318"/>
        <v>1</v>
      </c>
      <c r="AL78" s="24">
        <f>ROUND(INDEX($C$2:$C$5,MATCH($E78,$B$2:$B$5,0))*$G78/SUMIFS($G:$G,$E:$E,$E78,$B:$B,$B78,AK:AK,1)*IF(B78=$B$10,0.9,1),0)</f>
        <v>4500</v>
      </c>
      <c r="AM78" s="24">
        <f t="shared" si="318"/>
        <v>1</v>
      </c>
      <c r="AN78" s="24">
        <f>ROUND(INDEX($C$2:$C$5,MATCH($E78,$B$2:$B$5,0))*$H78/SUMIFS($H:$H,$E:$E,$E78,$B:$B,$B78,AM:AM,1)*IF(B78=$B$10,0.9,1),0)</f>
        <v>4500</v>
      </c>
      <c r="AX78" s="4" t="str">
        <f t="shared" si="288"/>
        <v>1,4500</v>
      </c>
      <c r="AY78" s="4" t="str">
        <f t="shared" si="289"/>
        <v>1,4500</v>
      </c>
      <c r="AZ78" s="4" t="str">
        <f t="shared" si="290"/>
        <v>1,4500</v>
      </c>
      <c r="BA78" s="4" t="str">
        <f t="shared" si="291"/>
        <v>1,4500</v>
      </c>
      <c r="BB78" s="4" t="str">
        <f t="shared" si="292"/>
        <v>1,4500</v>
      </c>
      <c r="BC78" s="4" t="str">
        <f t="shared" si="293"/>
        <v>1,4500</v>
      </c>
      <c r="BD78" s="4" t="str">
        <f t="shared" si="294"/>
        <v>1,4500</v>
      </c>
      <c r="BE78" s="4" t="str">
        <f t="shared" si="295"/>
        <v>1,4500</v>
      </c>
      <c r="BF78" s="4" t="str">
        <f t="shared" si="296"/>
        <v>1,4500</v>
      </c>
      <c r="BG78" s="4" t="str">
        <f t="shared" si="297"/>
        <v>1,4500</v>
      </c>
      <c r="BH78" s="4" t="str">
        <f t="shared" si="298"/>
        <v>1,4500</v>
      </c>
      <c r="BI78" s="4" t="str">
        <f t="shared" si="299"/>
        <v>1,4500</v>
      </c>
      <c r="BJ78" s="4" t="str">
        <f t="shared" si="300"/>
        <v>1,4500</v>
      </c>
    </row>
    <row r="79" customHeight="1" spans="1:62">
      <c r="A79" s="35">
        <v>502</v>
      </c>
      <c r="B79" s="40" t="s">
        <v>55</v>
      </c>
      <c r="C79" s="40"/>
      <c r="D79" s="41" t="s">
        <v>357</v>
      </c>
      <c r="E79" s="45">
        <v>1</v>
      </c>
      <c r="F79" s="35">
        <v>1</v>
      </c>
      <c r="G79" s="35">
        <f t="shared" si="301"/>
        <v>1</v>
      </c>
      <c r="H79" s="35">
        <v>1</v>
      </c>
      <c r="I79" s="35">
        <v>1</v>
      </c>
      <c r="J79" s="35">
        <v>1</v>
      </c>
      <c r="K79" s="35">
        <v>1</v>
      </c>
      <c r="L79" s="35">
        <v>1</v>
      </c>
      <c r="M79" s="35"/>
      <c r="N79">
        <f t="shared" si="302"/>
        <v>13500</v>
      </c>
      <c r="O79" s="35">
        <v>1</v>
      </c>
      <c r="P79" s="24">
        <f>ROUND(INDEX($C$2:$C$5,MATCH($E79,$B$2:$B$5,0))*$F79/SUMIFS($F:$F,$E:$E,$E79,$B:$B,$B79,O:O,1)*IF(B79=$B$10,0.9,1),0)</f>
        <v>4500</v>
      </c>
      <c r="Q79" s="24">
        <f t="shared" ref="Q79:U79" si="319">IF($L79&lt;=Q$8,1,0)</f>
        <v>1</v>
      </c>
      <c r="R79" s="24">
        <f>ROUND(INDEX($C$2:$C$5,MATCH($E79,$B$2:$B$5,0))*$I79/SUMIFS($I:$I,$E:$E,$E79,$B:$B,$B79,Q:Q,1)*IF(B79=$B$10,0.9,1),0)</f>
        <v>4500</v>
      </c>
      <c r="S79" s="24">
        <f t="shared" si="319"/>
        <v>1</v>
      </c>
      <c r="T79" s="24">
        <f>ROUND(INDEX($C$2:$C$5,MATCH($E79,$B$2:$B$5,0))*$J79/SUMIFS($J:$J,$E:$E,$E79,$B:$B,$B79,S:S,1)*IF(B79=$B$10,0.9,1),0)</f>
        <v>4500</v>
      </c>
      <c r="U79" s="24">
        <f t="shared" si="319"/>
        <v>1</v>
      </c>
      <c r="V79" s="24">
        <f>ROUND(INDEX($C$2:$C$5,MATCH($E79,$B$2:$B$5,0))*$K79/SUMIFS($K:$K,$E:$E,$E79,$B:$B,$B79,U:U,1)*IF(B79=$B$10,0.9,1),0)</f>
        <v>4500</v>
      </c>
      <c r="W79" s="24">
        <f t="shared" ref="W79:AA79" si="320">IF($L79&lt;=W$8,1,0)</f>
        <v>1</v>
      </c>
      <c r="X79" s="24">
        <f>ROUND(INDEX($C$2:$C$5,MATCH($E79,$B$2:$B$5,0))*$F79/SUMIFS($F:$F,$E:$E,$E79,$B:$B,$B79,W:W,1)*IF(B79=$B$10,0.9,1),0)</f>
        <v>4500</v>
      </c>
      <c r="Y79" s="24">
        <f t="shared" si="320"/>
        <v>1</v>
      </c>
      <c r="Z79" s="24">
        <f>ROUND(INDEX($C$2:$C$5,MATCH($E79,$B$2:$B$5,0))*$G79/SUMIFS($G:$G,$E:$E,$E79,$B:$B,$B79,Y:Y,1)*IF(B79=$B$10,0.9,1),0)</f>
        <v>4500</v>
      </c>
      <c r="AA79" s="24">
        <f t="shared" si="320"/>
        <v>1</v>
      </c>
      <c r="AB79" s="24">
        <f>ROUND(INDEX($C$2:$C$5,MATCH($E79,$B$2:$B$5,0))*$H79/SUMIFS($H:$H,$E:$E,$E79,$B:$B,$B79,AA:AA,1)*IF(B79=$B$10,0.9,1),0)</f>
        <v>4500</v>
      </c>
      <c r="AC79" s="24">
        <f t="shared" ref="AC79:AG79" si="321">IF($L79&lt;=AC$8,1,0)</f>
        <v>1</v>
      </c>
      <c r="AD79" s="24">
        <f>ROUND(INDEX($C$2:$C$5,MATCH($E79,$B$2:$B$5,0))*$F79/SUMIFS($F:$F,$E:$E,$E79,$B:$B,$B79,AC:AC,1)*IF(B79=$B$10,0.9,1),0)</f>
        <v>4500</v>
      </c>
      <c r="AE79" s="24">
        <f t="shared" si="321"/>
        <v>1</v>
      </c>
      <c r="AF79" s="24">
        <f>ROUND(INDEX($C$2:$C$5,MATCH($E79,$B$2:$B$5,0))*$G79/SUMIFS($G:$G,$E:$E,$E79,$B:$B,$B79,AE:AE,1)*IF(B79=$B$10,0.9,1),0)</f>
        <v>4500</v>
      </c>
      <c r="AG79" s="24">
        <f t="shared" si="321"/>
        <v>1</v>
      </c>
      <c r="AH79" s="24">
        <f>ROUND(INDEX($C$2:$C$5,MATCH($E79,$B$2:$B$5,0))*$H79/SUMIFS($H:$H,$E:$E,$E79,$B:$B,$B79,AG:AG,1)*IF(B79=$B$10,0.9,1),0)</f>
        <v>4500</v>
      </c>
      <c r="AI79" s="24">
        <f t="shared" ref="AI79:AM79" si="322">IF($L79&lt;=AI$8,1,0)</f>
        <v>1</v>
      </c>
      <c r="AJ79" s="24">
        <f>ROUND(INDEX($C$2:$C$5,MATCH($E79,$B$2:$B$5,0))*$F79/SUMIFS($F:$F,$E:$E,$E79,$B:$B,$B79,AI:AI,1)*IF(B79=$B$10,0.9,1),0)</f>
        <v>4500</v>
      </c>
      <c r="AK79" s="24">
        <f t="shared" si="322"/>
        <v>1</v>
      </c>
      <c r="AL79" s="24">
        <f>ROUND(INDEX($C$2:$C$5,MATCH($E79,$B$2:$B$5,0))*$G79/SUMIFS($G:$G,$E:$E,$E79,$B:$B,$B79,AK:AK,1)*IF(B79=$B$10,0.9,1),0)</f>
        <v>4500</v>
      </c>
      <c r="AM79" s="24">
        <f t="shared" si="322"/>
        <v>1</v>
      </c>
      <c r="AN79" s="24">
        <f>ROUND(INDEX($C$2:$C$5,MATCH($E79,$B$2:$B$5,0))*$H79/SUMIFS($H:$H,$E:$E,$E79,$B:$B,$B79,AM:AM,1)*IF(B79=$B$10,0.9,1),0)</f>
        <v>4500</v>
      </c>
      <c r="AX79" s="4" t="str">
        <f t="shared" si="288"/>
        <v>1,4500</v>
      </c>
      <c r="AY79" s="4" t="str">
        <f t="shared" si="289"/>
        <v>1,4500</v>
      </c>
      <c r="AZ79" s="4" t="str">
        <f t="shared" si="290"/>
        <v>1,4500</v>
      </c>
      <c r="BA79" s="4" t="str">
        <f t="shared" si="291"/>
        <v>1,4500</v>
      </c>
      <c r="BB79" s="4" t="str">
        <f t="shared" si="292"/>
        <v>1,4500</v>
      </c>
      <c r="BC79" s="4" t="str">
        <f t="shared" si="293"/>
        <v>1,4500</v>
      </c>
      <c r="BD79" s="4" t="str">
        <f t="shared" si="294"/>
        <v>1,4500</v>
      </c>
      <c r="BE79" s="4" t="str">
        <f t="shared" si="295"/>
        <v>1,4500</v>
      </c>
      <c r="BF79" s="4" t="str">
        <f t="shared" si="296"/>
        <v>1,4500</v>
      </c>
      <c r="BG79" s="4" t="str">
        <f t="shared" si="297"/>
        <v>1,4500</v>
      </c>
      <c r="BH79" s="4" t="str">
        <f t="shared" si="298"/>
        <v>1,4500</v>
      </c>
      <c r="BI79" s="4" t="str">
        <f t="shared" si="299"/>
        <v>1,4500</v>
      </c>
      <c r="BJ79" s="4" t="str">
        <f t="shared" si="300"/>
        <v>1,4500</v>
      </c>
    </row>
    <row r="80" customHeight="1" spans="1:62">
      <c r="A80" s="35">
        <v>503</v>
      </c>
      <c r="B80" s="40" t="s">
        <v>55</v>
      </c>
      <c r="C80" s="40"/>
      <c r="D80" s="41" t="s">
        <v>361</v>
      </c>
      <c r="E80" s="45">
        <v>1</v>
      </c>
      <c r="F80" s="35">
        <v>1</v>
      </c>
      <c r="G80" s="35">
        <f t="shared" si="301"/>
        <v>1</v>
      </c>
      <c r="H80" s="35">
        <v>1</v>
      </c>
      <c r="I80" s="35">
        <v>1</v>
      </c>
      <c r="J80" s="35">
        <v>1</v>
      </c>
      <c r="K80" s="35">
        <v>1</v>
      </c>
      <c r="L80" s="35">
        <v>1</v>
      </c>
      <c r="M80" s="35"/>
      <c r="N80">
        <f t="shared" si="302"/>
        <v>13500</v>
      </c>
      <c r="O80" s="35">
        <v>1</v>
      </c>
      <c r="P80" s="24">
        <f>ROUND(INDEX($C$2:$C$5,MATCH($E80,$B$2:$B$5,0))*$F80/SUMIFS($F:$F,$E:$E,$E80,$B:$B,$B80,O:O,1)*IF(B80=$B$10,0.9,1),0)</f>
        <v>4500</v>
      </c>
      <c r="Q80" s="24">
        <f t="shared" ref="Q80:U80" si="323">IF($L80&lt;=Q$8,1,0)</f>
        <v>1</v>
      </c>
      <c r="R80" s="24">
        <f>ROUND(INDEX($C$2:$C$5,MATCH($E80,$B$2:$B$5,0))*$I80/SUMIFS($I:$I,$E:$E,$E80,$B:$B,$B80,Q:Q,1)*IF(B80=$B$10,0.9,1),0)</f>
        <v>4500</v>
      </c>
      <c r="S80" s="24">
        <f t="shared" si="323"/>
        <v>1</v>
      </c>
      <c r="T80" s="24">
        <f>ROUND(INDEX($C$2:$C$5,MATCH($E80,$B$2:$B$5,0))*$J80/SUMIFS($J:$J,$E:$E,$E80,$B:$B,$B80,S:S,1)*IF(B80=$B$10,0.9,1),0)</f>
        <v>4500</v>
      </c>
      <c r="U80" s="24">
        <f t="shared" si="323"/>
        <v>1</v>
      </c>
      <c r="V80" s="24">
        <f>ROUND(INDEX($C$2:$C$5,MATCH($E80,$B$2:$B$5,0))*$K80/SUMIFS($K:$K,$E:$E,$E80,$B:$B,$B80,U:U,1)*IF(B80=$B$10,0.9,1),0)</f>
        <v>4500</v>
      </c>
      <c r="W80" s="24">
        <f t="shared" ref="W80:AA80" si="324">IF($L80&lt;=W$8,1,0)</f>
        <v>1</v>
      </c>
      <c r="X80" s="24">
        <f>ROUND(INDEX($C$2:$C$5,MATCH($E80,$B$2:$B$5,0))*$F80/SUMIFS($F:$F,$E:$E,$E80,$B:$B,$B80,W:W,1)*IF(B80=$B$10,0.9,1),0)</f>
        <v>4500</v>
      </c>
      <c r="Y80" s="24">
        <f t="shared" si="324"/>
        <v>1</v>
      </c>
      <c r="Z80" s="24">
        <f>ROUND(INDEX($C$2:$C$5,MATCH($E80,$B$2:$B$5,0))*$G80/SUMIFS($G:$G,$E:$E,$E80,$B:$B,$B80,Y:Y,1)*IF(B80=$B$10,0.9,1),0)</f>
        <v>4500</v>
      </c>
      <c r="AA80" s="24">
        <f t="shared" si="324"/>
        <v>1</v>
      </c>
      <c r="AB80" s="24">
        <f>ROUND(INDEX($C$2:$C$5,MATCH($E80,$B$2:$B$5,0))*$H80/SUMIFS($H:$H,$E:$E,$E80,$B:$B,$B80,AA:AA,1)*IF(B80=$B$10,0.9,1),0)</f>
        <v>4500</v>
      </c>
      <c r="AC80" s="24">
        <f t="shared" ref="AC80:AG80" si="325">IF($L80&lt;=AC$8,1,0)</f>
        <v>1</v>
      </c>
      <c r="AD80" s="24">
        <f>ROUND(INDEX($C$2:$C$5,MATCH($E80,$B$2:$B$5,0))*$F80/SUMIFS($F:$F,$E:$E,$E80,$B:$B,$B80,AC:AC,1)*IF(B80=$B$10,0.9,1),0)</f>
        <v>4500</v>
      </c>
      <c r="AE80" s="24">
        <f t="shared" si="325"/>
        <v>1</v>
      </c>
      <c r="AF80" s="24">
        <f>ROUND(INDEX($C$2:$C$5,MATCH($E80,$B$2:$B$5,0))*$G80/SUMIFS($G:$G,$E:$E,$E80,$B:$B,$B80,AE:AE,1)*IF(B80=$B$10,0.9,1),0)</f>
        <v>4500</v>
      </c>
      <c r="AG80" s="24">
        <f t="shared" si="325"/>
        <v>1</v>
      </c>
      <c r="AH80" s="24">
        <f>ROUND(INDEX($C$2:$C$5,MATCH($E80,$B$2:$B$5,0))*$H80/SUMIFS($H:$H,$E:$E,$E80,$B:$B,$B80,AG:AG,1)*IF(B80=$B$10,0.9,1),0)</f>
        <v>4500</v>
      </c>
      <c r="AI80" s="24">
        <f t="shared" ref="AI80:AM80" si="326">IF($L80&lt;=AI$8,1,0)</f>
        <v>1</v>
      </c>
      <c r="AJ80" s="24">
        <f>ROUND(INDEX($C$2:$C$5,MATCH($E80,$B$2:$B$5,0))*$F80/SUMIFS($F:$F,$E:$E,$E80,$B:$B,$B80,AI:AI,1)*IF(B80=$B$10,0.9,1),0)</f>
        <v>4500</v>
      </c>
      <c r="AK80" s="24">
        <f t="shared" si="326"/>
        <v>1</v>
      </c>
      <c r="AL80" s="24">
        <f>ROUND(INDEX($C$2:$C$5,MATCH($E80,$B$2:$B$5,0))*$G80/SUMIFS($G:$G,$E:$E,$E80,$B:$B,$B80,AK:AK,1)*IF(B80=$B$10,0.9,1),0)</f>
        <v>4500</v>
      </c>
      <c r="AM80" s="24">
        <f t="shared" si="326"/>
        <v>1</v>
      </c>
      <c r="AN80" s="24">
        <f>ROUND(INDEX($C$2:$C$5,MATCH($E80,$B$2:$B$5,0))*$H80/SUMIFS($H:$H,$E:$E,$E80,$B:$B,$B80,AM:AM,1)*IF(B80=$B$10,0.9,1),0)</f>
        <v>4500</v>
      </c>
      <c r="AX80" s="4" t="str">
        <f t="shared" si="288"/>
        <v>1,4500</v>
      </c>
      <c r="AY80" s="4" t="str">
        <f t="shared" si="289"/>
        <v>1,4500</v>
      </c>
      <c r="AZ80" s="4" t="str">
        <f t="shared" si="290"/>
        <v>1,4500</v>
      </c>
      <c r="BA80" s="4" t="str">
        <f t="shared" si="291"/>
        <v>1,4500</v>
      </c>
      <c r="BB80" s="4" t="str">
        <f t="shared" si="292"/>
        <v>1,4500</v>
      </c>
      <c r="BC80" s="4" t="str">
        <f t="shared" si="293"/>
        <v>1,4500</v>
      </c>
      <c r="BD80" s="4" t="str">
        <f t="shared" si="294"/>
        <v>1,4500</v>
      </c>
      <c r="BE80" s="4" t="str">
        <f t="shared" si="295"/>
        <v>1,4500</v>
      </c>
      <c r="BF80" s="4" t="str">
        <f t="shared" si="296"/>
        <v>1,4500</v>
      </c>
      <c r="BG80" s="4" t="str">
        <f t="shared" si="297"/>
        <v>1,4500</v>
      </c>
      <c r="BH80" s="4" t="str">
        <f t="shared" si="298"/>
        <v>1,4500</v>
      </c>
      <c r="BI80" s="4" t="str">
        <f t="shared" si="299"/>
        <v>1,4500</v>
      </c>
      <c r="BJ80" s="4" t="str">
        <f t="shared" si="300"/>
        <v>1,4500</v>
      </c>
    </row>
    <row r="81" customHeight="1" spans="1:62">
      <c r="A81" s="35">
        <v>511</v>
      </c>
      <c r="B81" s="40" t="s">
        <v>55</v>
      </c>
      <c r="C81" s="40"/>
      <c r="D81" s="44" t="s">
        <v>362</v>
      </c>
      <c r="E81" s="45">
        <v>2</v>
      </c>
      <c r="F81" s="35">
        <v>1</v>
      </c>
      <c r="G81" s="35">
        <f t="shared" si="301"/>
        <v>1</v>
      </c>
      <c r="H81" s="35">
        <v>1</v>
      </c>
      <c r="I81" s="35">
        <v>1</v>
      </c>
      <c r="J81" s="35">
        <v>1</v>
      </c>
      <c r="K81" s="35">
        <v>1</v>
      </c>
      <c r="L81" s="35">
        <v>1</v>
      </c>
      <c r="M81" s="35"/>
      <c r="N81">
        <f t="shared" si="302"/>
        <v>4500</v>
      </c>
      <c r="O81" s="35">
        <v>1</v>
      </c>
      <c r="P81" s="24">
        <f>ROUND(INDEX($C$2:$C$5,MATCH($E81,$B$2:$B$5,0))*$F81/SUMIFS($F:$F,$E:$E,$E81,$B:$B,$B81,O:O,1)*IF(B81=$B$10,0.9,1),0)</f>
        <v>750</v>
      </c>
      <c r="Q81" s="24">
        <f t="shared" ref="Q81:U81" si="327">IF($L81&lt;=Q$8,1,0)</f>
        <v>1</v>
      </c>
      <c r="R81" s="24">
        <f>ROUND(INDEX($C$2:$C$5,MATCH($E81,$B$2:$B$5,0))*$I81/SUMIFS($I:$I,$E:$E,$E81,$B:$B,$B81,Q:Q,1)*IF(B81=$B$10,0.9,1),0)</f>
        <v>900</v>
      </c>
      <c r="S81" s="24">
        <f t="shared" si="327"/>
        <v>1</v>
      </c>
      <c r="T81" s="24">
        <f>ROUND(INDEX($C$2:$C$5,MATCH($E81,$B$2:$B$5,0))*$J81/SUMIFS($J:$J,$E:$E,$E81,$B:$B,$B81,S:S,1)*IF(B81=$B$10,0.9,1),0)</f>
        <v>900</v>
      </c>
      <c r="U81" s="24">
        <f t="shared" si="327"/>
        <v>1</v>
      </c>
      <c r="V81" s="24">
        <f>ROUND(INDEX($C$2:$C$5,MATCH($E81,$B$2:$B$5,0))*$K81/SUMIFS($K:$K,$E:$E,$E81,$B:$B,$B81,U:U,1)*IF(B81=$B$10,0.9,1),0)</f>
        <v>900</v>
      </c>
      <c r="W81" s="24">
        <f t="shared" ref="W81:AA81" si="328">IF($L81&lt;=W$8,1,0)</f>
        <v>1</v>
      </c>
      <c r="X81" s="24">
        <f>ROUND(INDEX($C$2:$C$5,MATCH($E81,$B$2:$B$5,0))*$F81/SUMIFS($F:$F,$E:$E,$E81,$B:$B,$B81,W:W,1)*IF(B81=$B$10,0.9,1),0)</f>
        <v>750</v>
      </c>
      <c r="Y81" s="24">
        <f t="shared" si="328"/>
        <v>1</v>
      </c>
      <c r="Z81" s="24">
        <f>ROUND(INDEX($C$2:$C$5,MATCH($E81,$B$2:$B$5,0))*$G81/SUMIFS($G:$G,$E:$E,$E81,$B:$B,$B81,Y:Y,1)*IF(B81=$B$10,0.9,1),0)</f>
        <v>750</v>
      </c>
      <c r="AA81" s="24">
        <f t="shared" si="328"/>
        <v>1</v>
      </c>
      <c r="AB81" s="24">
        <f>ROUND(INDEX($C$2:$C$5,MATCH($E81,$B$2:$B$5,0))*$H81/SUMIFS($H:$H,$E:$E,$E81,$B:$B,$B81,AA:AA,1)*IF(B81=$B$10,0.9,1),0)</f>
        <v>750</v>
      </c>
      <c r="AC81" s="24">
        <f t="shared" ref="AC81:AG81" si="329">IF($L81&lt;=AC$8,1,0)</f>
        <v>1</v>
      </c>
      <c r="AD81" s="24">
        <f>ROUND(INDEX($C$2:$C$5,MATCH($E81,$B$2:$B$5,0))*$F81/SUMIFS($F:$F,$E:$E,$E81,$B:$B,$B81,AC:AC,1)*IF(B81=$B$10,0.9,1),0)</f>
        <v>750</v>
      </c>
      <c r="AE81" s="24">
        <f t="shared" si="329"/>
        <v>1</v>
      </c>
      <c r="AF81" s="24">
        <f>ROUND(INDEX($C$2:$C$5,MATCH($E81,$B$2:$B$5,0))*$G81/SUMIFS($G:$G,$E:$E,$E81,$B:$B,$B81,AE:AE,1)*IF(B81=$B$10,0.9,1),0)</f>
        <v>750</v>
      </c>
      <c r="AG81" s="24">
        <f t="shared" si="329"/>
        <v>1</v>
      </c>
      <c r="AH81" s="24">
        <f>ROUND(INDEX($C$2:$C$5,MATCH($E81,$B$2:$B$5,0))*$H81/SUMIFS($H:$H,$E:$E,$E81,$B:$B,$B81,AG:AG,1)*IF(B81=$B$10,0.9,1),0)</f>
        <v>750</v>
      </c>
      <c r="AI81" s="24">
        <f t="shared" ref="AI81:AM81" si="330">IF($L81&lt;=AI$8,1,0)</f>
        <v>1</v>
      </c>
      <c r="AJ81" s="24">
        <f>ROUND(INDEX($C$2:$C$5,MATCH($E81,$B$2:$B$5,0))*$F81/SUMIFS($F:$F,$E:$E,$E81,$B:$B,$B81,AI:AI,1)*IF(B81=$B$10,0.9,1),0)</f>
        <v>750</v>
      </c>
      <c r="AK81" s="24">
        <f t="shared" si="330"/>
        <v>1</v>
      </c>
      <c r="AL81" s="24">
        <f>ROUND(INDEX($C$2:$C$5,MATCH($E81,$B$2:$B$5,0))*$G81/SUMIFS($G:$G,$E:$E,$E81,$B:$B,$B81,AK:AK,1)*IF(B81=$B$10,0.9,1),0)</f>
        <v>750</v>
      </c>
      <c r="AM81" s="24">
        <f t="shared" si="330"/>
        <v>1</v>
      </c>
      <c r="AN81" s="24">
        <f>ROUND(INDEX($C$2:$C$5,MATCH($E81,$B$2:$B$5,0))*$H81/SUMIFS($H:$H,$E:$E,$E81,$B:$B,$B81,AM:AM,1)*IF(B81=$B$10,0.9,1),0)</f>
        <v>750</v>
      </c>
      <c r="AX81" s="4" t="str">
        <f t="shared" si="288"/>
        <v>1,750</v>
      </c>
      <c r="AY81" s="4" t="str">
        <f t="shared" si="289"/>
        <v>1,900</v>
      </c>
      <c r="AZ81" s="4" t="str">
        <f t="shared" si="290"/>
        <v>1,900</v>
      </c>
      <c r="BA81" s="4" t="str">
        <f t="shared" si="291"/>
        <v>1,900</v>
      </c>
      <c r="BB81" s="4" t="str">
        <f t="shared" si="292"/>
        <v>1,750</v>
      </c>
      <c r="BC81" s="4" t="str">
        <f t="shared" si="293"/>
        <v>1,750</v>
      </c>
      <c r="BD81" s="4" t="str">
        <f t="shared" si="294"/>
        <v>1,750</v>
      </c>
      <c r="BE81" s="4" t="str">
        <f t="shared" si="295"/>
        <v>1,750</v>
      </c>
      <c r="BF81" s="4" t="str">
        <f t="shared" si="296"/>
        <v>1,750</v>
      </c>
      <c r="BG81" s="4" t="str">
        <f t="shared" si="297"/>
        <v>1,750</v>
      </c>
      <c r="BH81" s="4" t="str">
        <f t="shared" si="298"/>
        <v>1,750</v>
      </c>
      <c r="BI81" s="4" t="str">
        <f t="shared" si="299"/>
        <v>1,750</v>
      </c>
      <c r="BJ81" s="4" t="str">
        <f t="shared" si="300"/>
        <v>1,750</v>
      </c>
    </row>
    <row r="82" customHeight="1" spans="1:62">
      <c r="A82" s="35">
        <v>512</v>
      </c>
      <c r="B82" s="40" t="s">
        <v>55</v>
      </c>
      <c r="C82" s="40" t="s">
        <v>218</v>
      </c>
      <c r="D82" s="44" t="s">
        <v>363</v>
      </c>
      <c r="E82" s="43">
        <v>2</v>
      </c>
      <c r="F82" s="35">
        <v>1</v>
      </c>
      <c r="G82" s="35">
        <f t="shared" si="301"/>
        <v>1</v>
      </c>
      <c r="H82" s="35">
        <v>1</v>
      </c>
      <c r="I82" s="35">
        <v>1</v>
      </c>
      <c r="J82" s="35">
        <v>1</v>
      </c>
      <c r="K82" s="35">
        <v>1</v>
      </c>
      <c r="L82" s="35">
        <v>1</v>
      </c>
      <c r="M82" s="35"/>
      <c r="N82">
        <f t="shared" si="302"/>
        <v>4500</v>
      </c>
      <c r="O82" s="35">
        <v>1</v>
      </c>
      <c r="P82" s="24">
        <f>ROUND(INDEX($C$2:$C$5,MATCH($E82,$B$2:$B$5,0))*$F82/SUMIFS($F:$F,$E:$E,$E82,$B:$B,$B82,O:O,1)*IF(B82=$B$10,0.9,1),0)</f>
        <v>750</v>
      </c>
      <c r="Q82" s="24">
        <f t="shared" ref="Q82:U82" si="331">IF($L82&lt;=Q$8,1,0)</f>
        <v>1</v>
      </c>
      <c r="R82" s="24">
        <f>ROUND(INDEX($C$2:$C$5,MATCH($E82,$B$2:$B$5,0))*$I82/SUMIFS($I:$I,$E:$E,$E82,$B:$B,$B82,Q:Q,1)*IF(B82=$B$10,0.9,1),0)</f>
        <v>900</v>
      </c>
      <c r="S82" s="24">
        <f t="shared" si="331"/>
        <v>1</v>
      </c>
      <c r="T82" s="24">
        <f>ROUND(INDEX($C$2:$C$5,MATCH($E82,$B$2:$B$5,0))*$J82/SUMIFS($J:$J,$E:$E,$E82,$B:$B,$B82,S:S,1)*IF(B82=$B$10,0.9,1),0)</f>
        <v>900</v>
      </c>
      <c r="U82" s="24">
        <f t="shared" si="331"/>
        <v>1</v>
      </c>
      <c r="V82" s="24">
        <f>ROUND(INDEX($C$2:$C$5,MATCH($E82,$B$2:$B$5,0))*$K82/SUMIFS($K:$K,$E:$E,$E82,$B:$B,$B82,U:U,1)*IF(B82=$B$10,0.9,1),0)</f>
        <v>900</v>
      </c>
      <c r="W82" s="24">
        <f t="shared" ref="W82:AA82" si="332">IF($L82&lt;=W$8,1,0)</f>
        <v>1</v>
      </c>
      <c r="X82" s="24">
        <f>ROUND(INDEX($C$2:$C$5,MATCH($E82,$B$2:$B$5,0))*$F82/SUMIFS($F:$F,$E:$E,$E82,$B:$B,$B82,W:W,1)*IF(B82=$B$10,0.9,1),0)</f>
        <v>750</v>
      </c>
      <c r="Y82" s="24">
        <f t="shared" si="332"/>
        <v>1</v>
      </c>
      <c r="Z82" s="24">
        <f>ROUND(INDEX($C$2:$C$5,MATCH($E82,$B$2:$B$5,0))*$G82/SUMIFS($G:$G,$E:$E,$E82,$B:$B,$B82,Y:Y,1)*IF(B82=$B$10,0.9,1),0)</f>
        <v>750</v>
      </c>
      <c r="AA82" s="24">
        <f t="shared" si="332"/>
        <v>1</v>
      </c>
      <c r="AB82" s="24">
        <f>ROUND(INDEX($C$2:$C$5,MATCH($E82,$B$2:$B$5,0))*$H82/SUMIFS($H:$H,$E:$E,$E82,$B:$B,$B82,AA:AA,1)*IF(B82=$B$10,0.9,1),0)</f>
        <v>750</v>
      </c>
      <c r="AC82" s="24">
        <f t="shared" ref="AC82:AG82" si="333">IF($L82&lt;=AC$8,1,0)</f>
        <v>1</v>
      </c>
      <c r="AD82" s="24">
        <f>ROUND(INDEX($C$2:$C$5,MATCH($E82,$B$2:$B$5,0))*$F82/SUMIFS($F:$F,$E:$E,$E82,$B:$B,$B82,AC:AC,1)*IF(B82=$B$10,0.9,1),0)</f>
        <v>750</v>
      </c>
      <c r="AE82" s="24">
        <f t="shared" si="333"/>
        <v>1</v>
      </c>
      <c r="AF82" s="24">
        <f>ROUND(INDEX($C$2:$C$5,MATCH($E82,$B$2:$B$5,0))*$G82/SUMIFS($G:$G,$E:$E,$E82,$B:$B,$B82,AE:AE,1)*IF(B82=$B$10,0.9,1),0)</f>
        <v>750</v>
      </c>
      <c r="AG82" s="24">
        <f t="shared" si="333"/>
        <v>1</v>
      </c>
      <c r="AH82" s="24">
        <f>ROUND(INDEX($C$2:$C$5,MATCH($E82,$B$2:$B$5,0))*$H82/SUMIFS($H:$H,$E:$E,$E82,$B:$B,$B82,AG:AG,1)*IF(B82=$B$10,0.9,1),0)</f>
        <v>750</v>
      </c>
      <c r="AI82" s="24">
        <f t="shared" ref="AI82:AM82" si="334">IF($L82&lt;=AI$8,1,0)</f>
        <v>1</v>
      </c>
      <c r="AJ82" s="24">
        <f>ROUND(INDEX($C$2:$C$5,MATCH($E82,$B$2:$B$5,0))*$F82/SUMIFS($F:$F,$E:$E,$E82,$B:$B,$B82,AI:AI,1)*IF(B82=$B$10,0.9,1),0)</f>
        <v>750</v>
      </c>
      <c r="AK82" s="24">
        <f t="shared" si="334"/>
        <v>1</v>
      </c>
      <c r="AL82" s="24">
        <f>ROUND(INDEX($C$2:$C$5,MATCH($E82,$B$2:$B$5,0))*$G82/SUMIFS($G:$G,$E:$E,$E82,$B:$B,$B82,AK:AK,1)*IF(B82=$B$10,0.9,1),0)</f>
        <v>750</v>
      </c>
      <c r="AM82" s="24">
        <f t="shared" si="334"/>
        <v>1</v>
      </c>
      <c r="AN82" s="24">
        <f>ROUND(INDEX($C$2:$C$5,MATCH($E82,$B$2:$B$5,0))*$H82/SUMIFS($H:$H,$E:$E,$E82,$B:$B,$B82,AM:AM,1)*IF(B82=$B$10,0.9,1),0)</f>
        <v>750</v>
      </c>
      <c r="AX82" s="4" t="str">
        <f t="shared" si="288"/>
        <v>1,750</v>
      </c>
      <c r="AY82" s="4" t="str">
        <f t="shared" si="289"/>
        <v>1,900</v>
      </c>
      <c r="AZ82" s="4" t="str">
        <f t="shared" si="290"/>
        <v>1,900</v>
      </c>
      <c r="BA82" s="4" t="str">
        <f t="shared" si="291"/>
        <v>1,900</v>
      </c>
      <c r="BB82" s="4" t="str">
        <f t="shared" si="292"/>
        <v>1,750</v>
      </c>
      <c r="BC82" s="4" t="str">
        <f t="shared" si="293"/>
        <v>1,750</v>
      </c>
      <c r="BD82" s="4" t="str">
        <f t="shared" si="294"/>
        <v>1,750</v>
      </c>
      <c r="BE82" s="4" t="str">
        <f t="shared" si="295"/>
        <v>1,750</v>
      </c>
      <c r="BF82" s="4" t="str">
        <f t="shared" si="296"/>
        <v>1,750</v>
      </c>
      <c r="BG82" s="4" t="str">
        <f t="shared" si="297"/>
        <v>1,750</v>
      </c>
      <c r="BH82" s="4" t="str">
        <f t="shared" si="298"/>
        <v>1,750</v>
      </c>
      <c r="BI82" s="4" t="str">
        <f t="shared" si="299"/>
        <v>1,750</v>
      </c>
      <c r="BJ82" s="4" t="str">
        <f t="shared" si="300"/>
        <v>1,750</v>
      </c>
    </row>
    <row r="83" customHeight="1" spans="1:62">
      <c r="A83" s="35">
        <v>513</v>
      </c>
      <c r="B83" s="40" t="s">
        <v>55</v>
      </c>
      <c r="C83" s="40" t="s">
        <v>218</v>
      </c>
      <c r="D83" s="44" t="s">
        <v>364</v>
      </c>
      <c r="E83" s="43">
        <v>2</v>
      </c>
      <c r="F83" s="35">
        <v>1</v>
      </c>
      <c r="G83" s="35">
        <f t="shared" si="301"/>
        <v>1</v>
      </c>
      <c r="H83" s="35">
        <v>1</v>
      </c>
      <c r="I83" s="35">
        <v>1</v>
      </c>
      <c r="J83" s="35">
        <v>1</v>
      </c>
      <c r="K83" s="35">
        <v>1</v>
      </c>
      <c r="L83" s="35">
        <v>1</v>
      </c>
      <c r="M83" s="35"/>
      <c r="N83">
        <f t="shared" si="302"/>
        <v>4500</v>
      </c>
      <c r="O83" s="35">
        <v>1</v>
      </c>
      <c r="P83" s="24">
        <f>ROUND(INDEX($C$2:$C$5,MATCH($E83,$B$2:$B$5,0))*$F83/SUMIFS($F:$F,$E:$E,$E83,$B:$B,$B83,O:O,1)*IF(B83=$B$10,0.9,1),0)</f>
        <v>750</v>
      </c>
      <c r="Q83" s="24">
        <f t="shared" ref="Q83:U83" si="335">IF($L83&lt;=Q$8,1,0)</f>
        <v>1</v>
      </c>
      <c r="R83" s="24">
        <f>ROUND(INDEX($C$2:$C$5,MATCH($E83,$B$2:$B$5,0))*$I83/SUMIFS($I:$I,$E:$E,$E83,$B:$B,$B83,Q:Q,1)*IF(B83=$B$10,0.9,1),0)</f>
        <v>900</v>
      </c>
      <c r="S83" s="24">
        <f t="shared" si="335"/>
        <v>1</v>
      </c>
      <c r="T83" s="24">
        <f>ROUND(INDEX($C$2:$C$5,MATCH($E83,$B$2:$B$5,0))*$J83/SUMIFS($J:$J,$E:$E,$E83,$B:$B,$B83,S:S,1)*IF(B83=$B$10,0.9,1),0)</f>
        <v>900</v>
      </c>
      <c r="U83" s="24">
        <f t="shared" si="335"/>
        <v>1</v>
      </c>
      <c r="V83" s="24">
        <f>ROUND(INDEX($C$2:$C$5,MATCH($E83,$B$2:$B$5,0))*$K83/SUMIFS($K:$K,$E:$E,$E83,$B:$B,$B83,U:U,1)*IF(B83=$B$10,0.9,1),0)</f>
        <v>900</v>
      </c>
      <c r="W83" s="24">
        <f t="shared" ref="W83:AA83" si="336">IF($L83&lt;=W$8,1,0)</f>
        <v>1</v>
      </c>
      <c r="X83" s="24">
        <f>ROUND(INDEX($C$2:$C$5,MATCH($E83,$B$2:$B$5,0))*$F83/SUMIFS($F:$F,$E:$E,$E83,$B:$B,$B83,W:W,1)*IF(B83=$B$10,0.9,1),0)</f>
        <v>750</v>
      </c>
      <c r="Y83" s="24">
        <f t="shared" si="336"/>
        <v>1</v>
      </c>
      <c r="Z83" s="24">
        <f>ROUND(INDEX($C$2:$C$5,MATCH($E83,$B$2:$B$5,0))*$G83/SUMIFS($G:$G,$E:$E,$E83,$B:$B,$B83,Y:Y,1)*IF(B83=$B$10,0.9,1),0)</f>
        <v>750</v>
      </c>
      <c r="AA83" s="24">
        <f t="shared" si="336"/>
        <v>1</v>
      </c>
      <c r="AB83" s="24">
        <f>ROUND(INDEX($C$2:$C$5,MATCH($E83,$B$2:$B$5,0))*$H83/SUMIFS($H:$H,$E:$E,$E83,$B:$B,$B83,AA:AA,1)*IF(B83=$B$10,0.9,1),0)</f>
        <v>750</v>
      </c>
      <c r="AC83" s="24">
        <f t="shared" ref="AC83:AG83" si="337">IF($L83&lt;=AC$8,1,0)</f>
        <v>1</v>
      </c>
      <c r="AD83" s="24">
        <f>ROUND(INDEX($C$2:$C$5,MATCH($E83,$B$2:$B$5,0))*$F83/SUMIFS($F:$F,$E:$E,$E83,$B:$B,$B83,AC:AC,1)*IF(B83=$B$10,0.9,1),0)</f>
        <v>750</v>
      </c>
      <c r="AE83" s="24">
        <f t="shared" si="337"/>
        <v>1</v>
      </c>
      <c r="AF83" s="24">
        <f>ROUND(INDEX($C$2:$C$5,MATCH($E83,$B$2:$B$5,0))*$G83/SUMIFS($G:$G,$E:$E,$E83,$B:$B,$B83,AE:AE,1)*IF(B83=$B$10,0.9,1),0)</f>
        <v>750</v>
      </c>
      <c r="AG83" s="24">
        <f t="shared" si="337"/>
        <v>1</v>
      </c>
      <c r="AH83" s="24">
        <f>ROUND(INDEX($C$2:$C$5,MATCH($E83,$B$2:$B$5,0))*$H83/SUMIFS($H:$H,$E:$E,$E83,$B:$B,$B83,AG:AG,1)*IF(B83=$B$10,0.9,1),0)</f>
        <v>750</v>
      </c>
      <c r="AI83" s="24">
        <f t="shared" ref="AI83:AM83" si="338">IF($L83&lt;=AI$8,1,0)</f>
        <v>1</v>
      </c>
      <c r="AJ83" s="24">
        <f>ROUND(INDEX($C$2:$C$5,MATCH($E83,$B$2:$B$5,0))*$F83/SUMIFS($F:$F,$E:$E,$E83,$B:$B,$B83,AI:AI,1)*IF(B83=$B$10,0.9,1),0)</f>
        <v>750</v>
      </c>
      <c r="AK83" s="24">
        <f t="shared" si="338"/>
        <v>1</v>
      </c>
      <c r="AL83" s="24">
        <f>ROUND(INDEX($C$2:$C$5,MATCH($E83,$B$2:$B$5,0))*$G83/SUMIFS($G:$G,$E:$E,$E83,$B:$B,$B83,AK:AK,1)*IF(B83=$B$10,0.9,1),0)</f>
        <v>750</v>
      </c>
      <c r="AM83" s="24">
        <f t="shared" si="338"/>
        <v>1</v>
      </c>
      <c r="AN83" s="24">
        <f>ROUND(INDEX($C$2:$C$5,MATCH($E83,$B$2:$B$5,0))*$H83/SUMIFS($H:$H,$E:$E,$E83,$B:$B,$B83,AM:AM,1)*IF(B83=$B$10,0.9,1),0)</f>
        <v>750</v>
      </c>
      <c r="AX83" s="4" t="str">
        <f t="shared" si="288"/>
        <v>1,750</v>
      </c>
      <c r="AY83" s="4" t="str">
        <f t="shared" si="289"/>
        <v>1,900</v>
      </c>
      <c r="AZ83" s="4" t="str">
        <f t="shared" si="290"/>
        <v>1,900</v>
      </c>
      <c r="BA83" s="4" t="str">
        <f t="shared" si="291"/>
        <v>1,900</v>
      </c>
      <c r="BB83" s="4" t="str">
        <f t="shared" si="292"/>
        <v>1,750</v>
      </c>
      <c r="BC83" s="4" t="str">
        <f t="shared" si="293"/>
        <v>1,750</v>
      </c>
      <c r="BD83" s="4" t="str">
        <f t="shared" si="294"/>
        <v>1,750</v>
      </c>
      <c r="BE83" s="4" t="str">
        <f t="shared" si="295"/>
        <v>1,750</v>
      </c>
      <c r="BF83" s="4" t="str">
        <f t="shared" si="296"/>
        <v>1,750</v>
      </c>
      <c r="BG83" s="4" t="str">
        <f t="shared" si="297"/>
        <v>1,750</v>
      </c>
      <c r="BH83" s="4" t="str">
        <f t="shared" si="298"/>
        <v>1,750</v>
      </c>
      <c r="BI83" s="4" t="str">
        <f t="shared" si="299"/>
        <v>1,750</v>
      </c>
      <c r="BJ83" s="4" t="str">
        <f t="shared" si="300"/>
        <v>1,750</v>
      </c>
    </row>
    <row r="84" customHeight="1" spans="1:62">
      <c r="A84" s="35">
        <v>514</v>
      </c>
      <c r="B84" s="40" t="s">
        <v>55</v>
      </c>
      <c r="C84" s="40" t="s">
        <v>218</v>
      </c>
      <c r="D84" s="44" t="s">
        <v>365</v>
      </c>
      <c r="E84" s="45">
        <v>2</v>
      </c>
      <c r="F84" s="35">
        <v>1</v>
      </c>
      <c r="G84" s="35">
        <f t="shared" si="301"/>
        <v>1</v>
      </c>
      <c r="H84" s="35">
        <v>1</v>
      </c>
      <c r="I84" s="35">
        <v>1</v>
      </c>
      <c r="J84" s="35">
        <v>1</v>
      </c>
      <c r="K84" s="35">
        <v>1</v>
      </c>
      <c r="L84" s="35">
        <v>1</v>
      </c>
      <c r="M84" s="35"/>
      <c r="N84">
        <f t="shared" si="302"/>
        <v>4500</v>
      </c>
      <c r="O84" s="35">
        <v>1</v>
      </c>
      <c r="P84" s="24">
        <f>ROUND(INDEX($C$2:$C$5,MATCH($E84,$B$2:$B$5,0))*$F84/SUMIFS($F:$F,$E:$E,$E84,$B:$B,$B84,O:O,1)*IF(B84=$B$10,0.9,1),0)</f>
        <v>750</v>
      </c>
      <c r="Q84" s="24">
        <f t="shared" ref="Q84:U84" si="339">IF($L84&lt;=Q$8,1,0)</f>
        <v>1</v>
      </c>
      <c r="R84" s="24">
        <f>ROUND(INDEX($C$2:$C$5,MATCH($E84,$B$2:$B$5,0))*$I84/SUMIFS($I:$I,$E:$E,$E84,$B:$B,$B84,Q:Q,1)*IF(B84=$B$10,0.9,1),0)</f>
        <v>900</v>
      </c>
      <c r="S84" s="24">
        <f t="shared" si="339"/>
        <v>1</v>
      </c>
      <c r="T84" s="24">
        <f>ROUND(INDEX($C$2:$C$5,MATCH($E84,$B$2:$B$5,0))*$J84/SUMIFS($J:$J,$E:$E,$E84,$B:$B,$B84,S:S,1)*IF(B84=$B$10,0.9,1),0)</f>
        <v>900</v>
      </c>
      <c r="U84" s="24">
        <f t="shared" si="339"/>
        <v>1</v>
      </c>
      <c r="V84" s="24">
        <f>ROUND(INDEX($C$2:$C$5,MATCH($E84,$B$2:$B$5,0))*$K84/SUMIFS($K:$K,$E:$E,$E84,$B:$B,$B84,U:U,1)*IF(B84=$B$10,0.9,1),0)</f>
        <v>900</v>
      </c>
      <c r="W84" s="24">
        <f t="shared" ref="W84:AA84" si="340">IF($L84&lt;=W$8,1,0)</f>
        <v>1</v>
      </c>
      <c r="X84" s="24">
        <f>ROUND(INDEX($C$2:$C$5,MATCH($E84,$B$2:$B$5,0))*$F84/SUMIFS($F:$F,$E:$E,$E84,$B:$B,$B84,W:W,1)*IF(B84=$B$10,0.9,1),0)</f>
        <v>750</v>
      </c>
      <c r="Y84" s="24">
        <f t="shared" si="340"/>
        <v>1</v>
      </c>
      <c r="Z84" s="24">
        <f>ROUND(INDEX($C$2:$C$5,MATCH($E84,$B$2:$B$5,0))*$G84/SUMIFS($G:$G,$E:$E,$E84,$B:$B,$B84,Y:Y,1)*IF(B84=$B$10,0.9,1),0)</f>
        <v>750</v>
      </c>
      <c r="AA84" s="24">
        <f t="shared" si="340"/>
        <v>1</v>
      </c>
      <c r="AB84" s="24">
        <f>ROUND(INDEX($C$2:$C$5,MATCH($E84,$B$2:$B$5,0))*$H84/SUMIFS($H:$H,$E:$E,$E84,$B:$B,$B84,AA:AA,1)*IF(B84=$B$10,0.9,1),0)</f>
        <v>750</v>
      </c>
      <c r="AC84" s="24">
        <f t="shared" ref="AC84:AG84" si="341">IF($L84&lt;=AC$8,1,0)</f>
        <v>1</v>
      </c>
      <c r="AD84" s="24">
        <f>ROUND(INDEX($C$2:$C$5,MATCH($E84,$B$2:$B$5,0))*$F84/SUMIFS($F:$F,$E:$E,$E84,$B:$B,$B84,AC:AC,1)*IF(B84=$B$10,0.9,1),0)</f>
        <v>750</v>
      </c>
      <c r="AE84" s="24">
        <f t="shared" si="341"/>
        <v>1</v>
      </c>
      <c r="AF84" s="24">
        <f>ROUND(INDEX($C$2:$C$5,MATCH($E84,$B$2:$B$5,0))*$G84/SUMIFS($G:$G,$E:$E,$E84,$B:$B,$B84,AE:AE,1)*IF(B84=$B$10,0.9,1),0)</f>
        <v>750</v>
      </c>
      <c r="AG84" s="24">
        <f t="shared" si="341"/>
        <v>1</v>
      </c>
      <c r="AH84" s="24">
        <f>ROUND(INDEX($C$2:$C$5,MATCH($E84,$B$2:$B$5,0))*$H84/SUMIFS($H:$H,$E:$E,$E84,$B:$B,$B84,AG:AG,1)*IF(B84=$B$10,0.9,1),0)</f>
        <v>750</v>
      </c>
      <c r="AI84" s="24">
        <f t="shared" ref="AI84:AM84" si="342">IF($L84&lt;=AI$8,1,0)</f>
        <v>1</v>
      </c>
      <c r="AJ84" s="24">
        <f>ROUND(INDEX($C$2:$C$5,MATCH($E84,$B$2:$B$5,0))*$F84/SUMIFS($F:$F,$E:$E,$E84,$B:$B,$B84,AI:AI,1)*IF(B84=$B$10,0.9,1),0)</f>
        <v>750</v>
      </c>
      <c r="AK84" s="24">
        <f t="shared" si="342"/>
        <v>1</v>
      </c>
      <c r="AL84" s="24">
        <f>ROUND(INDEX($C$2:$C$5,MATCH($E84,$B$2:$B$5,0))*$G84/SUMIFS($G:$G,$E:$E,$E84,$B:$B,$B84,AK:AK,1)*IF(B84=$B$10,0.9,1),0)</f>
        <v>750</v>
      </c>
      <c r="AM84" s="24">
        <f t="shared" si="342"/>
        <v>1</v>
      </c>
      <c r="AN84" s="24">
        <f>ROUND(INDEX($C$2:$C$5,MATCH($E84,$B$2:$B$5,0))*$H84/SUMIFS($H:$H,$E:$E,$E84,$B:$B,$B84,AM:AM,1)*IF(B84=$B$10,0.9,1),0)</f>
        <v>750</v>
      </c>
      <c r="AX84" s="4" t="str">
        <f t="shared" si="288"/>
        <v>1,750</v>
      </c>
      <c r="AY84" s="4" t="str">
        <f t="shared" si="289"/>
        <v>1,900</v>
      </c>
      <c r="AZ84" s="4" t="str">
        <f t="shared" si="290"/>
        <v>1,900</v>
      </c>
      <c r="BA84" s="4" t="str">
        <f t="shared" si="291"/>
        <v>1,900</v>
      </c>
      <c r="BB84" s="4" t="str">
        <f t="shared" si="292"/>
        <v>1,750</v>
      </c>
      <c r="BC84" s="4" t="str">
        <f t="shared" si="293"/>
        <v>1,750</v>
      </c>
      <c r="BD84" s="4" t="str">
        <f t="shared" si="294"/>
        <v>1,750</v>
      </c>
      <c r="BE84" s="4" t="str">
        <f t="shared" si="295"/>
        <v>1,750</v>
      </c>
      <c r="BF84" s="4" t="str">
        <f t="shared" si="296"/>
        <v>1,750</v>
      </c>
      <c r="BG84" s="4" t="str">
        <f t="shared" si="297"/>
        <v>1,750</v>
      </c>
      <c r="BH84" s="4" t="str">
        <f t="shared" si="298"/>
        <v>1,750</v>
      </c>
      <c r="BI84" s="4" t="str">
        <f t="shared" si="299"/>
        <v>1,750</v>
      </c>
      <c r="BJ84" s="4" t="str">
        <f t="shared" si="300"/>
        <v>1,750</v>
      </c>
    </row>
    <row r="85" customHeight="1" spans="1:62">
      <c r="A85" s="35">
        <v>521</v>
      </c>
      <c r="B85" s="40" t="s">
        <v>55</v>
      </c>
      <c r="C85" s="40" t="s">
        <v>218</v>
      </c>
      <c r="D85" s="46" t="s">
        <v>366</v>
      </c>
      <c r="E85" s="45">
        <v>3</v>
      </c>
      <c r="F85" s="35">
        <v>1</v>
      </c>
      <c r="G85" s="35">
        <f t="shared" si="301"/>
        <v>1</v>
      </c>
      <c r="H85" s="35">
        <v>1</v>
      </c>
      <c r="I85" s="35">
        <v>1</v>
      </c>
      <c r="J85" s="35">
        <v>1</v>
      </c>
      <c r="K85" s="35">
        <v>1</v>
      </c>
      <c r="L85" s="35">
        <v>1</v>
      </c>
      <c r="M85" s="35"/>
      <c r="N85">
        <f t="shared" si="302"/>
        <v>1500</v>
      </c>
      <c r="O85" s="35">
        <v>1</v>
      </c>
      <c r="P85" s="24">
        <f>ROUND(INDEX($C$2:$C$5,MATCH($E85,$B$2:$B$5,0))*$F85/SUMIFS($F:$F,$E:$E,$E85,$B:$B,$B85,O:O,1)*IF(B85=$B$10,0.9,1),0)</f>
        <v>250</v>
      </c>
      <c r="Q85" s="24">
        <f t="shared" ref="Q85:U85" si="343">IF($L85&lt;=Q$8,1,0)</f>
        <v>1</v>
      </c>
      <c r="R85" s="24">
        <f>ROUND(INDEX($C$2:$C$5,MATCH($E85,$B$2:$B$5,0))*$I85/SUMIFS($I:$I,$E:$E,$E85,$B:$B,$B85,Q:Q,1)*IF(B85=$B$10,0.9,1),0)</f>
        <v>300</v>
      </c>
      <c r="S85" s="24">
        <f t="shared" si="343"/>
        <v>1</v>
      </c>
      <c r="T85" s="24">
        <f>ROUND(INDEX($C$2:$C$5,MATCH($E85,$B$2:$B$5,0))*$J85/SUMIFS($J:$J,$E:$E,$E85,$B:$B,$B85,S:S,1)*IF(B85=$B$10,0.9,1),0)</f>
        <v>300</v>
      </c>
      <c r="U85" s="24">
        <f t="shared" si="343"/>
        <v>1</v>
      </c>
      <c r="V85" s="24">
        <f>ROUND(INDEX($C$2:$C$5,MATCH($E85,$B$2:$B$5,0))*$K85/SUMIFS($K:$K,$E:$E,$E85,$B:$B,$B85,U:U,1)*IF(B85=$B$10,0.9,1),0)</f>
        <v>300</v>
      </c>
      <c r="W85" s="24">
        <f t="shared" ref="W85:AA85" si="344">IF($L85&lt;=W$8,1,0)</f>
        <v>1</v>
      </c>
      <c r="X85" s="24">
        <f>ROUND(INDEX($C$2:$C$5,MATCH($E85,$B$2:$B$5,0))*$F85/SUMIFS($F:$F,$E:$E,$E85,$B:$B,$B85,W:W,1)*IF(B85=$B$10,0.9,1),0)</f>
        <v>250</v>
      </c>
      <c r="Y85" s="24">
        <f t="shared" si="344"/>
        <v>1</v>
      </c>
      <c r="Z85" s="24">
        <f>ROUND(INDEX($C$2:$C$5,MATCH($E85,$B$2:$B$5,0))*$G85/SUMIFS($G:$G,$E:$E,$E85,$B:$B,$B85,Y:Y,1)*IF(B85=$B$10,0.9,1),0)</f>
        <v>250</v>
      </c>
      <c r="AA85" s="24">
        <f t="shared" si="344"/>
        <v>1</v>
      </c>
      <c r="AB85" s="24">
        <f>ROUND(INDEX($C$2:$C$5,MATCH($E85,$B$2:$B$5,0))*$H85/SUMIFS($H:$H,$E:$E,$E85,$B:$B,$B85,AA:AA,1)*IF(B85=$B$10,0.9,1),0)</f>
        <v>250</v>
      </c>
      <c r="AC85" s="24">
        <f t="shared" ref="AC85:AG85" si="345">IF($L85&lt;=AC$8,1,0)</f>
        <v>1</v>
      </c>
      <c r="AD85" s="24">
        <f>ROUND(INDEX($C$2:$C$5,MATCH($E85,$B$2:$B$5,0))*$F85/SUMIFS($F:$F,$E:$E,$E85,$B:$B,$B85,AC:AC,1)*IF(B85=$B$10,0.9,1),0)</f>
        <v>250</v>
      </c>
      <c r="AE85" s="24">
        <f t="shared" si="345"/>
        <v>1</v>
      </c>
      <c r="AF85" s="24">
        <f>ROUND(INDEX($C$2:$C$5,MATCH($E85,$B$2:$B$5,0))*$G85/SUMIFS($G:$G,$E:$E,$E85,$B:$B,$B85,AE:AE,1)*IF(B85=$B$10,0.9,1),0)</f>
        <v>250</v>
      </c>
      <c r="AG85" s="24">
        <f t="shared" si="345"/>
        <v>1</v>
      </c>
      <c r="AH85" s="24">
        <f>ROUND(INDEX($C$2:$C$5,MATCH($E85,$B$2:$B$5,0))*$H85/SUMIFS($H:$H,$E:$E,$E85,$B:$B,$B85,AG:AG,1)*IF(B85=$B$10,0.9,1),0)</f>
        <v>250</v>
      </c>
      <c r="AI85" s="24">
        <f t="shared" ref="AI85:AM85" si="346">IF($L85&lt;=AI$8,1,0)</f>
        <v>1</v>
      </c>
      <c r="AJ85" s="24">
        <f>ROUND(INDEX($C$2:$C$5,MATCH($E85,$B$2:$B$5,0))*$F85/SUMIFS($F:$F,$E:$E,$E85,$B:$B,$B85,AI:AI,1)*IF(B85=$B$10,0.9,1),0)</f>
        <v>250</v>
      </c>
      <c r="AK85" s="24">
        <f t="shared" si="346"/>
        <v>1</v>
      </c>
      <c r="AL85" s="24">
        <f>ROUND(INDEX($C$2:$C$5,MATCH($E85,$B$2:$B$5,0))*$G85/SUMIFS($G:$G,$E:$E,$E85,$B:$B,$B85,AK:AK,1)*IF(B85=$B$10,0.9,1),0)</f>
        <v>250</v>
      </c>
      <c r="AM85" s="24">
        <f t="shared" si="346"/>
        <v>1</v>
      </c>
      <c r="AN85" s="24">
        <f>ROUND(INDEX($C$2:$C$5,MATCH($E85,$B$2:$B$5,0))*$H85/SUMIFS($H:$H,$E:$E,$E85,$B:$B,$B85,AM:AM,1)*IF(B85=$B$10,0.9,1),0)</f>
        <v>250</v>
      </c>
      <c r="AX85" s="4" t="str">
        <f t="shared" si="288"/>
        <v>1,250</v>
      </c>
      <c r="AY85" s="4" t="str">
        <f t="shared" si="289"/>
        <v>1,300</v>
      </c>
      <c r="AZ85" s="4" t="str">
        <f t="shared" si="290"/>
        <v>1,300</v>
      </c>
      <c r="BA85" s="4" t="str">
        <f t="shared" si="291"/>
        <v>1,300</v>
      </c>
      <c r="BB85" s="4" t="str">
        <f t="shared" si="292"/>
        <v>1,250</v>
      </c>
      <c r="BC85" s="4" t="str">
        <f t="shared" si="293"/>
        <v>1,250</v>
      </c>
      <c r="BD85" s="4" t="str">
        <f t="shared" si="294"/>
        <v>1,250</v>
      </c>
      <c r="BE85" s="4" t="str">
        <f t="shared" si="295"/>
        <v>1,250</v>
      </c>
      <c r="BF85" s="4" t="str">
        <f t="shared" si="296"/>
        <v>1,250</v>
      </c>
      <c r="BG85" s="4" t="str">
        <f t="shared" si="297"/>
        <v>1,250</v>
      </c>
      <c r="BH85" s="4" t="str">
        <f t="shared" si="298"/>
        <v>1,250</v>
      </c>
      <c r="BI85" s="4" t="str">
        <f t="shared" si="299"/>
        <v>1,250</v>
      </c>
      <c r="BJ85" s="4" t="str">
        <f t="shared" si="300"/>
        <v>1,250</v>
      </c>
    </row>
    <row r="86" customHeight="1" spans="1:62">
      <c r="A86" s="58">
        <v>522</v>
      </c>
      <c r="B86" s="59" t="s">
        <v>55</v>
      </c>
      <c r="C86" s="59" t="s">
        <v>218</v>
      </c>
      <c r="D86" s="46" t="s">
        <v>367</v>
      </c>
      <c r="E86" s="50">
        <v>3</v>
      </c>
      <c r="F86" s="35">
        <v>1</v>
      </c>
      <c r="G86" s="35">
        <f t="shared" si="301"/>
        <v>1</v>
      </c>
      <c r="H86" s="35">
        <v>1</v>
      </c>
      <c r="I86" s="35">
        <v>1</v>
      </c>
      <c r="J86" s="35">
        <v>1</v>
      </c>
      <c r="K86" s="35">
        <v>1</v>
      </c>
      <c r="L86" s="35">
        <v>1</v>
      </c>
      <c r="M86" s="35"/>
      <c r="N86">
        <f t="shared" si="302"/>
        <v>1500</v>
      </c>
      <c r="O86" s="35">
        <v>1</v>
      </c>
      <c r="P86" s="24">
        <f>ROUND(INDEX($C$2:$C$5,MATCH($E86,$B$2:$B$5,0))*$F86/SUMIFS($F:$F,$E:$E,$E86,$B:$B,$B86,O:O,1)*IF(B86=$B$10,0.9,1),0)</f>
        <v>250</v>
      </c>
      <c r="Q86" s="24">
        <f t="shared" ref="Q86:U86" si="347">IF($L86&lt;=Q$8,1,0)</f>
        <v>1</v>
      </c>
      <c r="R86" s="24">
        <f>ROUND(INDEX($C$2:$C$5,MATCH($E86,$B$2:$B$5,0))*$I86/SUMIFS($I:$I,$E:$E,$E86,$B:$B,$B86,Q:Q,1)*IF(B86=$B$10,0.9,1),0)</f>
        <v>300</v>
      </c>
      <c r="S86" s="24">
        <f t="shared" si="347"/>
        <v>1</v>
      </c>
      <c r="T86" s="24">
        <f>ROUND(INDEX($C$2:$C$5,MATCH($E86,$B$2:$B$5,0))*$J86/SUMIFS($J:$J,$E:$E,$E86,$B:$B,$B86,S:S,1)*IF(B86=$B$10,0.9,1),0)</f>
        <v>300</v>
      </c>
      <c r="U86" s="24">
        <f t="shared" si="347"/>
        <v>1</v>
      </c>
      <c r="V86" s="24">
        <f>ROUND(INDEX($C$2:$C$5,MATCH($E86,$B$2:$B$5,0))*$K86/SUMIFS($K:$K,$E:$E,$E86,$B:$B,$B86,U:U,1)*IF(B86=$B$10,0.9,1),0)</f>
        <v>300</v>
      </c>
      <c r="W86" s="24">
        <f t="shared" ref="W86:AA86" si="348">IF($L86&lt;=W$8,1,0)</f>
        <v>1</v>
      </c>
      <c r="X86" s="24">
        <f>ROUND(INDEX($C$2:$C$5,MATCH($E86,$B$2:$B$5,0))*$F86/SUMIFS($F:$F,$E:$E,$E86,$B:$B,$B86,W:W,1)*IF(B86=$B$10,0.9,1),0)</f>
        <v>250</v>
      </c>
      <c r="Y86" s="24">
        <f t="shared" si="348"/>
        <v>1</v>
      </c>
      <c r="Z86" s="24">
        <f>ROUND(INDEX($C$2:$C$5,MATCH($E86,$B$2:$B$5,0))*$G86/SUMIFS($G:$G,$E:$E,$E86,$B:$B,$B86,Y:Y,1)*IF(B86=$B$10,0.9,1),0)</f>
        <v>250</v>
      </c>
      <c r="AA86" s="24">
        <f t="shared" si="348"/>
        <v>1</v>
      </c>
      <c r="AB86" s="24">
        <f>ROUND(INDEX($C$2:$C$5,MATCH($E86,$B$2:$B$5,0))*$H86/SUMIFS($H:$H,$E:$E,$E86,$B:$B,$B86,AA:AA,1)*IF(B86=$B$10,0.9,1),0)</f>
        <v>250</v>
      </c>
      <c r="AC86" s="24">
        <f t="shared" ref="AC86:AG86" si="349">IF($L86&lt;=AC$8,1,0)</f>
        <v>1</v>
      </c>
      <c r="AD86" s="24">
        <f>ROUND(INDEX($C$2:$C$5,MATCH($E86,$B$2:$B$5,0))*$F86/SUMIFS($F:$F,$E:$E,$E86,$B:$B,$B86,AC:AC,1)*IF(B86=$B$10,0.9,1),0)</f>
        <v>250</v>
      </c>
      <c r="AE86" s="24">
        <f t="shared" si="349"/>
        <v>1</v>
      </c>
      <c r="AF86" s="24">
        <f>ROUND(INDEX($C$2:$C$5,MATCH($E86,$B$2:$B$5,0))*$G86/SUMIFS($G:$G,$E:$E,$E86,$B:$B,$B86,AE:AE,1)*IF(B86=$B$10,0.9,1),0)</f>
        <v>250</v>
      </c>
      <c r="AG86" s="24">
        <f t="shared" si="349"/>
        <v>1</v>
      </c>
      <c r="AH86" s="24">
        <f>ROUND(INDEX($C$2:$C$5,MATCH($E86,$B$2:$B$5,0))*$H86/SUMIFS($H:$H,$E:$E,$E86,$B:$B,$B86,AG:AG,1)*IF(B86=$B$10,0.9,1),0)</f>
        <v>250</v>
      </c>
      <c r="AI86" s="24">
        <f t="shared" ref="AI86:AM86" si="350">IF($L86&lt;=AI$8,1,0)</f>
        <v>1</v>
      </c>
      <c r="AJ86" s="24">
        <f>ROUND(INDEX($C$2:$C$5,MATCH($E86,$B$2:$B$5,0))*$F86/SUMIFS($F:$F,$E:$E,$E86,$B:$B,$B86,AI:AI,1)*IF(B86=$B$10,0.9,1),0)</f>
        <v>250</v>
      </c>
      <c r="AK86" s="24">
        <f t="shared" si="350"/>
        <v>1</v>
      </c>
      <c r="AL86" s="24">
        <f>ROUND(INDEX($C$2:$C$5,MATCH($E86,$B$2:$B$5,0))*$G86/SUMIFS($G:$G,$E:$E,$E86,$B:$B,$B86,AK:AK,1)*IF(B86=$B$10,0.9,1),0)</f>
        <v>250</v>
      </c>
      <c r="AM86" s="24">
        <f t="shared" si="350"/>
        <v>1</v>
      </c>
      <c r="AN86" s="24">
        <f>ROUND(INDEX($C$2:$C$5,MATCH($E86,$B$2:$B$5,0))*$H86/SUMIFS($H:$H,$E:$E,$E86,$B:$B,$B86,AM:AM,1)*IF(B86=$B$10,0.9,1),0)</f>
        <v>250</v>
      </c>
      <c r="AX86" s="4" t="str">
        <f t="shared" si="288"/>
        <v>1,250</v>
      </c>
      <c r="AY86" s="4" t="str">
        <f t="shared" si="289"/>
        <v>1,300</v>
      </c>
      <c r="AZ86" s="4" t="str">
        <f t="shared" si="290"/>
        <v>1,300</v>
      </c>
      <c r="BA86" s="4" t="str">
        <f t="shared" si="291"/>
        <v>1,300</v>
      </c>
      <c r="BB86" s="4" t="str">
        <f t="shared" si="292"/>
        <v>1,250</v>
      </c>
      <c r="BC86" s="4" t="str">
        <f t="shared" si="293"/>
        <v>1,250</v>
      </c>
      <c r="BD86" s="4" t="str">
        <f t="shared" si="294"/>
        <v>1,250</v>
      </c>
      <c r="BE86" s="4" t="str">
        <f t="shared" si="295"/>
        <v>1,250</v>
      </c>
      <c r="BF86" s="4" t="str">
        <f t="shared" si="296"/>
        <v>1,250</v>
      </c>
      <c r="BG86" s="4" t="str">
        <f t="shared" si="297"/>
        <v>1,250</v>
      </c>
      <c r="BH86" s="4" t="str">
        <f t="shared" si="298"/>
        <v>1,250</v>
      </c>
      <c r="BI86" s="4" t="str">
        <f t="shared" si="299"/>
        <v>1,250</v>
      </c>
      <c r="BJ86" s="4" t="str">
        <f t="shared" si="300"/>
        <v>1,250</v>
      </c>
    </row>
    <row r="87" customHeight="1" spans="1:62">
      <c r="A87" s="58">
        <v>523</v>
      </c>
      <c r="B87" s="59" t="s">
        <v>55</v>
      </c>
      <c r="C87" s="59" t="s">
        <v>218</v>
      </c>
      <c r="D87" s="46" t="s">
        <v>368</v>
      </c>
      <c r="E87" s="50">
        <v>3</v>
      </c>
      <c r="F87" s="35">
        <v>1</v>
      </c>
      <c r="G87" s="35">
        <f t="shared" si="301"/>
        <v>1</v>
      </c>
      <c r="H87" s="35">
        <v>1</v>
      </c>
      <c r="I87" s="35">
        <v>1</v>
      </c>
      <c r="J87" s="35">
        <v>1</v>
      </c>
      <c r="K87" s="35">
        <v>1</v>
      </c>
      <c r="L87" s="35">
        <v>1</v>
      </c>
      <c r="M87" s="35"/>
      <c r="N87">
        <f t="shared" si="302"/>
        <v>1500</v>
      </c>
      <c r="O87" s="35">
        <v>1</v>
      </c>
      <c r="P87" s="24">
        <f>ROUND(INDEX($C$2:$C$5,MATCH($E87,$B$2:$B$5,0))*$F87/SUMIFS($F:$F,$E:$E,$E87,$B:$B,$B87,O:O,1)*IF(B87=$B$10,0.9,1),0)</f>
        <v>250</v>
      </c>
      <c r="Q87" s="24">
        <f t="shared" ref="Q87:U87" si="351">IF($L87&lt;=Q$8,1,0)</f>
        <v>1</v>
      </c>
      <c r="R87" s="24">
        <f>ROUND(INDEX($C$2:$C$5,MATCH($E87,$B$2:$B$5,0))*$I87/SUMIFS($I:$I,$E:$E,$E87,$B:$B,$B87,Q:Q,1)*IF(B87=$B$10,0.9,1),0)</f>
        <v>300</v>
      </c>
      <c r="S87" s="24">
        <f t="shared" si="351"/>
        <v>1</v>
      </c>
      <c r="T87" s="24">
        <f>ROUND(INDEX($C$2:$C$5,MATCH($E87,$B$2:$B$5,0))*$J87/SUMIFS($J:$J,$E:$E,$E87,$B:$B,$B87,S:S,1)*IF(B87=$B$10,0.9,1),0)</f>
        <v>300</v>
      </c>
      <c r="U87" s="24">
        <f t="shared" si="351"/>
        <v>1</v>
      </c>
      <c r="V87" s="24">
        <f>ROUND(INDEX($C$2:$C$5,MATCH($E87,$B$2:$B$5,0))*$K87/SUMIFS($K:$K,$E:$E,$E87,$B:$B,$B87,U:U,1)*IF(B87=$B$10,0.9,1),0)</f>
        <v>300</v>
      </c>
      <c r="W87" s="24">
        <f t="shared" ref="W87:AA87" si="352">IF($L87&lt;=W$8,1,0)</f>
        <v>1</v>
      </c>
      <c r="X87" s="24">
        <f>ROUND(INDEX($C$2:$C$5,MATCH($E87,$B$2:$B$5,0))*$F87/SUMIFS($F:$F,$E:$E,$E87,$B:$B,$B87,W:W,1)*IF(B87=$B$10,0.9,1),0)</f>
        <v>250</v>
      </c>
      <c r="Y87" s="24">
        <f t="shared" si="352"/>
        <v>1</v>
      </c>
      <c r="Z87" s="24">
        <f>ROUND(INDEX($C$2:$C$5,MATCH($E87,$B$2:$B$5,0))*$G87/SUMIFS($G:$G,$E:$E,$E87,$B:$B,$B87,Y:Y,1)*IF(B87=$B$10,0.9,1),0)</f>
        <v>250</v>
      </c>
      <c r="AA87" s="24">
        <f t="shared" si="352"/>
        <v>1</v>
      </c>
      <c r="AB87" s="24">
        <f>ROUND(INDEX($C$2:$C$5,MATCH($E87,$B$2:$B$5,0))*$H87/SUMIFS($H:$H,$E:$E,$E87,$B:$B,$B87,AA:AA,1)*IF(B87=$B$10,0.9,1),0)</f>
        <v>250</v>
      </c>
      <c r="AC87" s="24">
        <f t="shared" ref="AC87:AG87" si="353">IF($L87&lt;=AC$8,1,0)</f>
        <v>1</v>
      </c>
      <c r="AD87" s="24">
        <f>ROUND(INDEX($C$2:$C$5,MATCH($E87,$B$2:$B$5,0))*$F87/SUMIFS($F:$F,$E:$E,$E87,$B:$B,$B87,AC:AC,1)*IF(B87=$B$10,0.9,1),0)</f>
        <v>250</v>
      </c>
      <c r="AE87" s="24">
        <f t="shared" si="353"/>
        <v>1</v>
      </c>
      <c r="AF87" s="24">
        <f>ROUND(INDEX($C$2:$C$5,MATCH($E87,$B$2:$B$5,0))*$G87/SUMIFS($G:$G,$E:$E,$E87,$B:$B,$B87,AE:AE,1)*IF(B87=$B$10,0.9,1),0)</f>
        <v>250</v>
      </c>
      <c r="AG87" s="24">
        <f t="shared" si="353"/>
        <v>1</v>
      </c>
      <c r="AH87" s="24">
        <f>ROUND(INDEX($C$2:$C$5,MATCH($E87,$B$2:$B$5,0))*$H87/SUMIFS($H:$H,$E:$E,$E87,$B:$B,$B87,AG:AG,1)*IF(B87=$B$10,0.9,1),0)</f>
        <v>250</v>
      </c>
      <c r="AI87" s="24">
        <f t="shared" ref="AI87:AM87" si="354">IF($L87&lt;=AI$8,1,0)</f>
        <v>1</v>
      </c>
      <c r="AJ87" s="24">
        <f>ROUND(INDEX($C$2:$C$5,MATCH($E87,$B$2:$B$5,0))*$F87/SUMIFS($F:$F,$E:$E,$E87,$B:$B,$B87,AI:AI,1)*IF(B87=$B$10,0.9,1),0)</f>
        <v>250</v>
      </c>
      <c r="AK87" s="24">
        <f t="shared" si="354"/>
        <v>1</v>
      </c>
      <c r="AL87" s="24">
        <f>ROUND(INDEX($C$2:$C$5,MATCH($E87,$B$2:$B$5,0))*$G87/SUMIFS($G:$G,$E:$E,$E87,$B:$B,$B87,AK:AK,1)*IF(B87=$B$10,0.9,1),0)</f>
        <v>250</v>
      </c>
      <c r="AM87" s="24">
        <f t="shared" si="354"/>
        <v>1</v>
      </c>
      <c r="AN87" s="24">
        <f>ROUND(INDEX($C$2:$C$5,MATCH($E87,$B$2:$B$5,0))*$H87/SUMIFS($H:$H,$E:$E,$E87,$B:$B,$B87,AM:AM,1)*IF(B87=$B$10,0.9,1),0)</f>
        <v>250</v>
      </c>
      <c r="AX87" s="4" t="str">
        <f t="shared" si="288"/>
        <v>1,250</v>
      </c>
      <c r="AY87" s="4" t="str">
        <f t="shared" si="289"/>
        <v>1,300</v>
      </c>
      <c r="AZ87" s="4" t="str">
        <f t="shared" si="290"/>
        <v>1,300</v>
      </c>
      <c r="BA87" s="4" t="str">
        <f t="shared" si="291"/>
        <v>1,300</v>
      </c>
      <c r="BB87" s="4" t="str">
        <f t="shared" si="292"/>
        <v>1,250</v>
      </c>
      <c r="BC87" s="4" t="str">
        <f t="shared" si="293"/>
        <v>1,250</v>
      </c>
      <c r="BD87" s="4" t="str">
        <f t="shared" si="294"/>
        <v>1,250</v>
      </c>
      <c r="BE87" s="4" t="str">
        <f t="shared" si="295"/>
        <v>1,250</v>
      </c>
      <c r="BF87" s="4" t="str">
        <f t="shared" si="296"/>
        <v>1,250</v>
      </c>
      <c r="BG87" s="4" t="str">
        <f t="shared" si="297"/>
        <v>1,250</v>
      </c>
      <c r="BH87" s="4" t="str">
        <f t="shared" si="298"/>
        <v>1,250</v>
      </c>
      <c r="BI87" s="4" t="str">
        <f t="shared" si="299"/>
        <v>1,250</v>
      </c>
      <c r="BJ87" s="4" t="str">
        <f t="shared" si="300"/>
        <v>1,250</v>
      </c>
    </row>
    <row r="88" customHeight="1" spans="1:62">
      <c r="A88" s="35">
        <v>524</v>
      </c>
      <c r="B88" s="60" t="s">
        <v>55</v>
      </c>
      <c r="C88" s="40"/>
      <c r="D88" s="46" t="s">
        <v>369</v>
      </c>
      <c r="E88" s="35">
        <v>3</v>
      </c>
      <c r="F88" s="35">
        <v>1</v>
      </c>
      <c r="G88" s="35">
        <f t="shared" si="301"/>
        <v>1</v>
      </c>
      <c r="H88" s="35">
        <v>1</v>
      </c>
      <c r="I88" s="35">
        <v>1</v>
      </c>
      <c r="J88" s="35">
        <v>1</v>
      </c>
      <c r="K88" s="35">
        <v>1</v>
      </c>
      <c r="L88" s="35">
        <v>1</v>
      </c>
      <c r="M88" s="35"/>
      <c r="N88">
        <f t="shared" si="302"/>
        <v>1500</v>
      </c>
      <c r="O88" s="35">
        <v>1</v>
      </c>
      <c r="P88" s="24">
        <f>ROUND(INDEX($C$2:$C$5,MATCH($E88,$B$2:$B$5,0))*$F88/SUMIFS($F:$F,$E:$E,$E88,$B:$B,$B88,O:O,1)*IF(B88=$B$10,0.9,1),0)</f>
        <v>250</v>
      </c>
      <c r="Q88" s="24">
        <f t="shared" ref="Q88:U88" si="355">IF($L88&lt;=Q$8,1,0)</f>
        <v>1</v>
      </c>
      <c r="R88" s="24">
        <f>ROUND(INDEX($C$2:$C$5,MATCH($E88,$B$2:$B$5,0))*$I88/SUMIFS($I:$I,$E:$E,$E88,$B:$B,$B88,Q:Q,1)*IF(B88=$B$10,0.9,1),0)</f>
        <v>300</v>
      </c>
      <c r="S88" s="24">
        <f t="shared" si="355"/>
        <v>1</v>
      </c>
      <c r="T88" s="24">
        <f>ROUND(INDEX($C$2:$C$5,MATCH($E88,$B$2:$B$5,0))*$J88/SUMIFS($J:$J,$E:$E,$E88,$B:$B,$B88,S:S,1)*IF(B88=$B$10,0.9,1),0)</f>
        <v>300</v>
      </c>
      <c r="U88" s="24">
        <f t="shared" si="355"/>
        <v>1</v>
      </c>
      <c r="V88" s="24">
        <f>ROUND(INDEX($C$2:$C$5,MATCH($E88,$B$2:$B$5,0))*$K88/SUMIFS($K:$K,$E:$E,$E88,$B:$B,$B88,U:U,1)*IF(B88=$B$10,0.9,1),0)</f>
        <v>300</v>
      </c>
      <c r="W88" s="24">
        <f t="shared" ref="W88:AA88" si="356">IF($L88&lt;=W$8,1,0)</f>
        <v>1</v>
      </c>
      <c r="X88" s="24">
        <f>ROUND(INDEX($C$2:$C$5,MATCH($E88,$B$2:$B$5,0))*$F88/SUMIFS($F:$F,$E:$E,$E88,$B:$B,$B88,W:W,1)*IF(B88=$B$10,0.9,1),0)</f>
        <v>250</v>
      </c>
      <c r="Y88" s="24">
        <f t="shared" si="356"/>
        <v>1</v>
      </c>
      <c r="Z88" s="24">
        <f>ROUND(INDEX($C$2:$C$5,MATCH($E88,$B$2:$B$5,0))*$G88/SUMIFS($G:$G,$E:$E,$E88,$B:$B,$B88,Y:Y,1)*IF(B88=$B$10,0.9,1),0)</f>
        <v>250</v>
      </c>
      <c r="AA88" s="24">
        <f t="shared" si="356"/>
        <v>1</v>
      </c>
      <c r="AB88" s="24">
        <f>ROUND(INDEX($C$2:$C$5,MATCH($E88,$B$2:$B$5,0))*$H88/SUMIFS($H:$H,$E:$E,$E88,$B:$B,$B88,AA:AA,1)*IF(B88=$B$10,0.9,1),0)</f>
        <v>250</v>
      </c>
      <c r="AC88" s="24">
        <f t="shared" ref="AC88:AG88" si="357">IF($L88&lt;=AC$8,1,0)</f>
        <v>1</v>
      </c>
      <c r="AD88" s="24">
        <f>ROUND(INDEX($C$2:$C$5,MATCH($E88,$B$2:$B$5,0))*$F88/SUMIFS($F:$F,$E:$E,$E88,$B:$B,$B88,AC:AC,1)*IF(B88=$B$10,0.9,1),0)</f>
        <v>250</v>
      </c>
      <c r="AE88" s="24">
        <f t="shared" si="357"/>
        <v>1</v>
      </c>
      <c r="AF88" s="24">
        <f>ROUND(INDEX($C$2:$C$5,MATCH($E88,$B$2:$B$5,0))*$G88/SUMIFS($G:$G,$E:$E,$E88,$B:$B,$B88,AE:AE,1)*IF(B88=$B$10,0.9,1),0)</f>
        <v>250</v>
      </c>
      <c r="AG88" s="24">
        <f t="shared" si="357"/>
        <v>1</v>
      </c>
      <c r="AH88" s="24">
        <f>ROUND(INDEX($C$2:$C$5,MATCH($E88,$B$2:$B$5,0))*$H88/SUMIFS($H:$H,$E:$E,$E88,$B:$B,$B88,AG:AG,1)*IF(B88=$B$10,0.9,1),0)</f>
        <v>250</v>
      </c>
      <c r="AI88" s="24">
        <f t="shared" ref="AI88:AM88" si="358">IF($L88&lt;=AI$8,1,0)</f>
        <v>1</v>
      </c>
      <c r="AJ88" s="24">
        <f>ROUND(INDEX($C$2:$C$5,MATCH($E88,$B$2:$B$5,0))*$F88/SUMIFS($F:$F,$E:$E,$E88,$B:$B,$B88,AI:AI,1)*IF(B88=$B$10,0.9,1),0)</f>
        <v>250</v>
      </c>
      <c r="AK88" s="24">
        <f t="shared" si="358"/>
        <v>1</v>
      </c>
      <c r="AL88" s="24">
        <f>ROUND(INDEX($C$2:$C$5,MATCH($E88,$B$2:$B$5,0))*$G88/SUMIFS($G:$G,$E:$E,$E88,$B:$B,$B88,AK:AK,1)*IF(B88=$B$10,0.9,1),0)</f>
        <v>250</v>
      </c>
      <c r="AM88" s="24">
        <f t="shared" si="358"/>
        <v>1</v>
      </c>
      <c r="AN88" s="24">
        <f>ROUND(INDEX($C$2:$C$5,MATCH($E88,$B$2:$B$5,0))*$H88/SUMIFS($H:$H,$E:$E,$E88,$B:$B,$B88,AM:AM,1)*IF(B88=$B$10,0.9,1),0)</f>
        <v>250</v>
      </c>
      <c r="AX88" s="4" t="str">
        <f t="shared" si="288"/>
        <v>1,250</v>
      </c>
      <c r="AY88" s="4" t="str">
        <f t="shared" si="289"/>
        <v>1,300</v>
      </c>
      <c r="AZ88" s="4" t="str">
        <f t="shared" si="290"/>
        <v>1,300</v>
      </c>
      <c r="BA88" s="4" t="str">
        <f t="shared" si="291"/>
        <v>1,300</v>
      </c>
      <c r="BB88" s="4" t="str">
        <f t="shared" si="292"/>
        <v>1,250</v>
      </c>
      <c r="BC88" s="4" t="str">
        <f t="shared" si="293"/>
        <v>1,250</v>
      </c>
      <c r="BD88" s="4" t="str">
        <f t="shared" si="294"/>
        <v>1,250</v>
      </c>
      <c r="BE88" s="4" t="str">
        <f t="shared" si="295"/>
        <v>1,250</v>
      </c>
      <c r="BF88" s="4" t="str">
        <f t="shared" si="296"/>
        <v>1,250</v>
      </c>
      <c r="BG88" s="4" t="str">
        <f t="shared" si="297"/>
        <v>1,250</v>
      </c>
      <c r="BH88" s="4" t="str">
        <f t="shared" si="298"/>
        <v>1,250</v>
      </c>
      <c r="BI88" s="4" t="str">
        <f t="shared" si="299"/>
        <v>1,250</v>
      </c>
      <c r="BJ88" s="4" t="str">
        <f t="shared" si="300"/>
        <v>1,250</v>
      </c>
    </row>
    <row r="89" customHeight="1" spans="1:62">
      <c r="A89" s="35">
        <v>531</v>
      </c>
      <c r="B89" s="60" t="s">
        <v>55</v>
      </c>
      <c r="C89" s="40"/>
      <c r="D89" s="44" t="s">
        <v>57</v>
      </c>
      <c r="E89" s="43">
        <v>2</v>
      </c>
      <c r="F89" s="35">
        <v>1</v>
      </c>
      <c r="G89" s="35">
        <f t="shared" si="301"/>
        <v>1</v>
      </c>
      <c r="H89" s="35">
        <v>1</v>
      </c>
      <c r="I89" s="35">
        <v>1</v>
      </c>
      <c r="J89" s="35">
        <v>1</v>
      </c>
      <c r="K89" s="35">
        <v>1</v>
      </c>
      <c r="L89" s="35">
        <v>2</v>
      </c>
      <c r="M89" s="35"/>
      <c r="N89">
        <f t="shared" si="302"/>
        <v>4500</v>
      </c>
      <c r="O89" s="35">
        <v>1</v>
      </c>
      <c r="P89" s="24">
        <f>ROUND(INDEX($C$2:$C$5,MATCH($E89,$B$2:$B$5,0))*$F89/SUMIFS($F:$F,$E:$E,$E89,$B:$B,$B89,O:O,1)*IF(B89=$B$10,0.9,1),0)</f>
        <v>750</v>
      </c>
      <c r="Q89" s="24">
        <f t="shared" ref="Q89:U89" si="359">IF($L89&lt;=Q$8,1,0)</f>
        <v>0</v>
      </c>
      <c r="R89" s="24">
        <f>ROUND(INDEX($C$2:$C$5,MATCH($E89,$B$2:$B$5,0))*$I89/SUMIFS($I:$I,$E:$E,$E89,$B:$B,$B89,Q:Q,1)*IF(B89=$B$10,0.9,1),0)</f>
        <v>900</v>
      </c>
      <c r="S89" s="24">
        <f t="shared" si="359"/>
        <v>0</v>
      </c>
      <c r="T89" s="24">
        <f>ROUND(INDEX($C$2:$C$5,MATCH($E89,$B$2:$B$5,0))*$J89/SUMIFS($J:$J,$E:$E,$E89,$B:$B,$B89,S:S,1)*IF(B89=$B$10,0.9,1),0)</f>
        <v>900</v>
      </c>
      <c r="U89" s="24">
        <f t="shared" si="359"/>
        <v>0</v>
      </c>
      <c r="V89" s="24">
        <f>ROUND(INDEX($C$2:$C$5,MATCH($E89,$B$2:$B$5,0))*$K89/SUMIFS($K:$K,$E:$E,$E89,$B:$B,$B89,U:U,1)*IF(B89=$B$10,0.9,1),0)</f>
        <v>900</v>
      </c>
      <c r="W89" s="24">
        <f t="shared" ref="W89:AA89" si="360">IF($L89&lt;=W$8,1,0)</f>
        <v>1</v>
      </c>
      <c r="X89" s="24">
        <f>ROUND(INDEX($C$2:$C$5,MATCH($E89,$B$2:$B$5,0))*$F89/SUMIFS($F:$F,$E:$E,$E89,$B:$B,$B89,W:W,1)*IF(B89=$B$10,0.9,1),0)</f>
        <v>750</v>
      </c>
      <c r="Y89" s="24">
        <f t="shared" si="360"/>
        <v>1</v>
      </c>
      <c r="Z89" s="24">
        <f>ROUND(INDEX($C$2:$C$5,MATCH($E89,$B$2:$B$5,0))*$G89/SUMIFS($G:$G,$E:$E,$E89,$B:$B,$B89,Y:Y,1)*IF(B89=$B$10,0.9,1),0)</f>
        <v>750</v>
      </c>
      <c r="AA89" s="24">
        <f t="shared" si="360"/>
        <v>1</v>
      </c>
      <c r="AB89" s="24">
        <f>ROUND(INDEX($C$2:$C$5,MATCH($E89,$B$2:$B$5,0))*$H89/SUMIFS($H:$H,$E:$E,$E89,$B:$B,$B89,AA:AA,1)*IF(B89=$B$10,0.9,1),0)</f>
        <v>750</v>
      </c>
      <c r="AC89" s="24">
        <f t="shared" ref="AC89:AG89" si="361">IF($L89&lt;=AC$8,1,0)</f>
        <v>1</v>
      </c>
      <c r="AD89" s="24">
        <f>ROUND(INDEX($C$2:$C$5,MATCH($E89,$B$2:$B$5,0))*$F89/SUMIFS($F:$F,$E:$E,$E89,$B:$B,$B89,AC:AC,1)*IF(B89=$B$10,0.9,1),0)</f>
        <v>750</v>
      </c>
      <c r="AE89" s="24">
        <f t="shared" si="361"/>
        <v>1</v>
      </c>
      <c r="AF89" s="24">
        <f>ROUND(INDEX($C$2:$C$5,MATCH($E89,$B$2:$B$5,0))*$G89/SUMIFS($G:$G,$E:$E,$E89,$B:$B,$B89,AE:AE,1)*IF(B89=$B$10,0.9,1),0)</f>
        <v>750</v>
      </c>
      <c r="AG89" s="24">
        <f t="shared" si="361"/>
        <v>1</v>
      </c>
      <c r="AH89" s="24">
        <f>ROUND(INDEX($C$2:$C$5,MATCH($E89,$B$2:$B$5,0))*$H89/SUMIFS($H:$H,$E:$E,$E89,$B:$B,$B89,AG:AG,1)*IF(B89=$B$10,0.9,1),0)</f>
        <v>750</v>
      </c>
      <c r="AI89" s="24">
        <f t="shared" ref="AI89:AM89" si="362">IF($L89&lt;=AI$8,1,0)</f>
        <v>1</v>
      </c>
      <c r="AJ89" s="24">
        <f>ROUND(INDEX($C$2:$C$5,MATCH($E89,$B$2:$B$5,0))*$F89/SUMIFS($F:$F,$E:$E,$E89,$B:$B,$B89,AI:AI,1)*IF(B89=$B$10,0.9,1),0)</f>
        <v>750</v>
      </c>
      <c r="AK89" s="24">
        <f t="shared" si="362"/>
        <v>1</v>
      </c>
      <c r="AL89" s="24">
        <f>ROUND(INDEX($C$2:$C$5,MATCH($E89,$B$2:$B$5,0))*$G89/SUMIFS($G:$G,$E:$E,$E89,$B:$B,$B89,AK:AK,1)*IF(B89=$B$10,0.9,1),0)</f>
        <v>750</v>
      </c>
      <c r="AM89" s="24">
        <f t="shared" si="362"/>
        <v>1</v>
      </c>
      <c r="AN89" s="24">
        <f>ROUND(INDEX($C$2:$C$5,MATCH($E89,$B$2:$B$5,0))*$H89/SUMIFS($H:$H,$E:$E,$E89,$B:$B,$B89,AM:AM,1)*IF(B89=$B$10,0.9,1),0)</f>
        <v>750</v>
      </c>
      <c r="AX89" s="4" t="str">
        <f t="shared" si="288"/>
        <v>1,750</v>
      </c>
      <c r="AY89" s="4" t="str">
        <f t="shared" si="289"/>
        <v>0,900</v>
      </c>
      <c r="AZ89" s="4" t="str">
        <f t="shared" si="290"/>
        <v>0,900</v>
      </c>
      <c r="BA89" s="4" t="str">
        <f t="shared" si="291"/>
        <v>0,900</v>
      </c>
      <c r="BB89" s="4" t="str">
        <f t="shared" si="292"/>
        <v>1,750</v>
      </c>
      <c r="BC89" s="4" t="str">
        <f t="shared" si="293"/>
        <v>1,750</v>
      </c>
      <c r="BD89" s="4" t="str">
        <f t="shared" si="294"/>
        <v>1,750</v>
      </c>
      <c r="BE89" s="4" t="str">
        <f t="shared" si="295"/>
        <v>1,750</v>
      </c>
      <c r="BF89" s="4" t="str">
        <f t="shared" si="296"/>
        <v>1,750</v>
      </c>
      <c r="BG89" s="4" t="str">
        <f t="shared" si="297"/>
        <v>1,750</v>
      </c>
      <c r="BH89" s="4" t="str">
        <f t="shared" si="298"/>
        <v>1,750</v>
      </c>
      <c r="BI89" s="4" t="str">
        <f t="shared" si="299"/>
        <v>1,750</v>
      </c>
      <c r="BJ89" s="4" t="str">
        <f t="shared" si="300"/>
        <v>1,750</v>
      </c>
    </row>
    <row r="90" customHeight="1" spans="1:62">
      <c r="A90" s="35">
        <v>532</v>
      </c>
      <c r="B90" s="60" t="s">
        <v>55</v>
      </c>
      <c r="C90" s="40"/>
      <c r="D90" s="44" t="s">
        <v>384</v>
      </c>
      <c r="E90" s="43">
        <v>2</v>
      </c>
      <c r="F90" s="35">
        <v>1</v>
      </c>
      <c r="G90" s="35">
        <f t="shared" si="301"/>
        <v>1</v>
      </c>
      <c r="H90" s="35">
        <v>1</v>
      </c>
      <c r="I90" s="35">
        <v>1</v>
      </c>
      <c r="J90" s="35">
        <v>1</v>
      </c>
      <c r="K90" s="35">
        <v>1</v>
      </c>
      <c r="L90" s="35">
        <v>1</v>
      </c>
      <c r="M90" s="35"/>
      <c r="N90">
        <f t="shared" si="302"/>
        <v>4500</v>
      </c>
      <c r="O90" s="35">
        <v>1</v>
      </c>
      <c r="P90" s="24">
        <f>ROUND(INDEX($C$2:$C$5,MATCH($E90,$B$2:$B$5,0))*$F90/SUMIFS($F:$F,$E:$E,$E90,$B:$B,$B90,O:O,1)*IF(B90=$B$10,0.9,1),0)</f>
        <v>750</v>
      </c>
      <c r="Q90" s="24">
        <f t="shared" ref="Q90:U90" si="363">IF($L90&lt;=Q$8,1,0)</f>
        <v>1</v>
      </c>
      <c r="R90" s="24">
        <f>ROUND(INDEX($C$2:$C$5,MATCH($E90,$B$2:$B$5,0))*$I90/SUMIFS($I:$I,$E:$E,$E90,$B:$B,$B90,Q:Q,1)*IF(B90=$B$10,0.9,1),0)</f>
        <v>900</v>
      </c>
      <c r="S90" s="24">
        <f t="shared" si="363"/>
        <v>1</v>
      </c>
      <c r="T90" s="24">
        <f>ROUND(INDEX($C$2:$C$5,MATCH($E90,$B$2:$B$5,0))*$J90/SUMIFS($J:$J,$E:$E,$E90,$B:$B,$B90,S:S,1)*IF(B90=$B$10,0.9,1),0)</f>
        <v>900</v>
      </c>
      <c r="U90" s="24">
        <f t="shared" si="363"/>
        <v>1</v>
      </c>
      <c r="V90" s="24">
        <f>ROUND(INDEX($C$2:$C$5,MATCH($E90,$B$2:$B$5,0))*$K90/SUMIFS($K:$K,$E:$E,$E90,$B:$B,$B90,U:U,1)*IF(B90=$B$10,0.9,1),0)</f>
        <v>900</v>
      </c>
      <c r="W90" s="24">
        <f t="shared" ref="W90:AA90" si="364">IF($L90&lt;=W$8,1,0)</f>
        <v>1</v>
      </c>
      <c r="X90" s="24">
        <f>ROUND(INDEX($C$2:$C$5,MATCH($E90,$B$2:$B$5,0))*$F90/SUMIFS($F:$F,$E:$E,$E90,$B:$B,$B90,W:W,1)*IF(B90=$B$10,0.9,1),0)</f>
        <v>750</v>
      </c>
      <c r="Y90" s="24">
        <f t="shared" si="364"/>
        <v>1</v>
      </c>
      <c r="Z90" s="24">
        <f>ROUND(INDEX($C$2:$C$5,MATCH($E90,$B$2:$B$5,0))*$G90/SUMIFS($G:$G,$E:$E,$E90,$B:$B,$B90,Y:Y,1)*IF(B90=$B$10,0.9,1),0)</f>
        <v>750</v>
      </c>
      <c r="AA90" s="24">
        <f t="shared" si="364"/>
        <v>1</v>
      </c>
      <c r="AB90" s="24">
        <f>ROUND(INDEX($C$2:$C$5,MATCH($E90,$B$2:$B$5,0))*$H90/SUMIFS($H:$H,$E:$E,$E90,$B:$B,$B90,AA:AA,1)*IF(B90=$B$10,0.9,1),0)</f>
        <v>750</v>
      </c>
      <c r="AC90" s="24">
        <f t="shared" ref="AC90:AG90" si="365">IF($L90&lt;=AC$8,1,0)</f>
        <v>1</v>
      </c>
      <c r="AD90" s="24">
        <f>ROUND(INDEX($C$2:$C$5,MATCH($E90,$B$2:$B$5,0))*$F90/SUMIFS($F:$F,$E:$E,$E90,$B:$B,$B90,AC:AC,1)*IF(B90=$B$10,0.9,1),0)</f>
        <v>750</v>
      </c>
      <c r="AE90" s="24">
        <f t="shared" si="365"/>
        <v>1</v>
      </c>
      <c r="AF90" s="24">
        <f>ROUND(INDEX($C$2:$C$5,MATCH($E90,$B$2:$B$5,0))*$G90/SUMIFS($G:$G,$E:$E,$E90,$B:$B,$B90,AE:AE,1)*IF(B90=$B$10,0.9,1),0)</f>
        <v>750</v>
      </c>
      <c r="AG90" s="24">
        <f t="shared" si="365"/>
        <v>1</v>
      </c>
      <c r="AH90" s="24">
        <f>ROUND(INDEX($C$2:$C$5,MATCH($E90,$B$2:$B$5,0))*$H90/SUMIFS($H:$H,$E:$E,$E90,$B:$B,$B90,AG:AG,1)*IF(B90=$B$10,0.9,1),0)</f>
        <v>750</v>
      </c>
      <c r="AI90" s="24">
        <f t="shared" ref="AI90:AM90" si="366">IF($L90&lt;=AI$8,1,0)</f>
        <v>1</v>
      </c>
      <c r="AJ90" s="24">
        <f>ROUND(INDEX($C$2:$C$5,MATCH($E90,$B$2:$B$5,0))*$F90/SUMIFS($F:$F,$E:$E,$E90,$B:$B,$B90,AI:AI,1)*IF(B90=$B$10,0.9,1),0)</f>
        <v>750</v>
      </c>
      <c r="AK90" s="24">
        <f t="shared" si="366"/>
        <v>1</v>
      </c>
      <c r="AL90" s="24">
        <f>ROUND(INDEX($C$2:$C$5,MATCH($E90,$B$2:$B$5,0))*$G90/SUMIFS($G:$G,$E:$E,$E90,$B:$B,$B90,AK:AK,1)*IF(B90=$B$10,0.9,1),0)</f>
        <v>750</v>
      </c>
      <c r="AM90" s="24">
        <f t="shared" si="366"/>
        <v>1</v>
      </c>
      <c r="AN90" s="24">
        <f>ROUND(INDEX($C$2:$C$5,MATCH($E90,$B$2:$B$5,0))*$H90/SUMIFS($H:$H,$E:$E,$E90,$B:$B,$B90,AM:AM,1)*IF(B90=$B$10,0.9,1),0)</f>
        <v>750</v>
      </c>
      <c r="AX90" s="4" t="str">
        <f t="shared" si="288"/>
        <v>1,750</v>
      </c>
      <c r="AY90" s="4" t="str">
        <f t="shared" si="289"/>
        <v>1,900</v>
      </c>
      <c r="AZ90" s="4" t="str">
        <f t="shared" si="290"/>
        <v>1,900</v>
      </c>
      <c r="BA90" s="4" t="str">
        <f t="shared" si="291"/>
        <v>1,900</v>
      </c>
      <c r="BB90" s="4" t="str">
        <f t="shared" si="292"/>
        <v>1,750</v>
      </c>
      <c r="BC90" s="4" t="str">
        <f t="shared" si="293"/>
        <v>1,750</v>
      </c>
      <c r="BD90" s="4" t="str">
        <f t="shared" si="294"/>
        <v>1,750</v>
      </c>
      <c r="BE90" s="4" t="str">
        <f t="shared" si="295"/>
        <v>1,750</v>
      </c>
      <c r="BF90" s="4" t="str">
        <f t="shared" si="296"/>
        <v>1,750</v>
      </c>
      <c r="BG90" s="4" t="str">
        <f t="shared" si="297"/>
        <v>1,750</v>
      </c>
      <c r="BH90" s="4" t="str">
        <f t="shared" si="298"/>
        <v>1,750</v>
      </c>
      <c r="BI90" s="4" t="str">
        <f t="shared" si="299"/>
        <v>1,750</v>
      </c>
      <c r="BJ90" s="4" t="str">
        <f t="shared" si="300"/>
        <v>1,750</v>
      </c>
    </row>
    <row r="91" customHeight="1" spans="1:62">
      <c r="A91" s="35">
        <v>541</v>
      </c>
      <c r="B91" s="60" t="s">
        <v>55</v>
      </c>
      <c r="C91" s="40"/>
      <c r="D91" s="46" t="s">
        <v>59</v>
      </c>
      <c r="E91" s="43">
        <v>3</v>
      </c>
      <c r="F91" s="35">
        <v>1</v>
      </c>
      <c r="G91" s="35">
        <f t="shared" si="301"/>
        <v>1</v>
      </c>
      <c r="H91" s="35">
        <v>1</v>
      </c>
      <c r="I91" s="35">
        <v>1</v>
      </c>
      <c r="J91" s="35">
        <v>1</v>
      </c>
      <c r="K91" s="35">
        <v>1</v>
      </c>
      <c r="L91" s="35">
        <v>2</v>
      </c>
      <c r="M91" s="35" t="s">
        <v>136</v>
      </c>
      <c r="N91">
        <f t="shared" si="302"/>
        <v>1500</v>
      </c>
      <c r="O91" s="35">
        <v>1</v>
      </c>
      <c r="P91" s="24">
        <f>ROUND(INDEX($C$2:$C$5,MATCH($E91,$B$2:$B$5,0))*$F91/SUMIFS($F:$F,$E:$E,$E91,$B:$B,$B91,O:O,1)*IF(B91=$B$10,0.9,1),0)</f>
        <v>250</v>
      </c>
      <c r="Q91" s="24">
        <f t="shared" ref="Q91:U91" si="367">IF($L91&lt;=Q$8,1,0)</f>
        <v>0</v>
      </c>
      <c r="R91" s="24">
        <f>ROUND(INDEX($C$2:$C$5,MATCH($E91,$B$2:$B$5,0))*$I91/SUMIFS($I:$I,$E:$E,$E91,$B:$B,$B91,Q:Q,1)*IF(B91=$B$10,0.9,1),0)</f>
        <v>300</v>
      </c>
      <c r="S91" s="24">
        <f t="shared" si="367"/>
        <v>0</v>
      </c>
      <c r="T91" s="24">
        <f>ROUND(INDEX($C$2:$C$5,MATCH($E91,$B$2:$B$5,0))*$J91/SUMIFS($J:$J,$E:$E,$E91,$B:$B,$B91,S:S,1)*IF(B91=$B$10,0.9,1),0)</f>
        <v>300</v>
      </c>
      <c r="U91" s="24">
        <f t="shared" si="367"/>
        <v>0</v>
      </c>
      <c r="V91" s="24">
        <f>ROUND(INDEX($C$2:$C$5,MATCH($E91,$B$2:$B$5,0))*$K91/SUMIFS($K:$K,$E:$E,$E91,$B:$B,$B91,U:U,1)*IF(B91=$B$10,0.9,1),0)</f>
        <v>300</v>
      </c>
      <c r="W91" s="24">
        <f t="shared" ref="W91:AA91" si="368">IF($L91&lt;=W$8,1,0)</f>
        <v>1</v>
      </c>
      <c r="X91" s="24">
        <f>ROUND(INDEX($C$2:$C$5,MATCH($E91,$B$2:$B$5,0))*$F91/SUMIFS($F:$F,$E:$E,$E91,$B:$B,$B91,W:W,1)*IF(B91=$B$10,0.9,1),0)</f>
        <v>250</v>
      </c>
      <c r="Y91" s="24">
        <f t="shared" si="368"/>
        <v>1</v>
      </c>
      <c r="Z91" s="24">
        <f>ROUND(INDEX($C$2:$C$5,MATCH($E91,$B$2:$B$5,0))*$G91/SUMIFS($G:$G,$E:$E,$E91,$B:$B,$B91,Y:Y,1)*IF(B91=$B$10,0.9,1),0)</f>
        <v>250</v>
      </c>
      <c r="AA91" s="24">
        <f t="shared" si="368"/>
        <v>1</v>
      </c>
      <c r="AB91" s="24">
        <f>ROUND(INDEX($C$2:$C$5,MATCH($E91,$B$2:$B$5,0))*$H91/SUMIFS($H:$H,$E:$E,$E91,$B:$B,$B91,AA:AA,1)*IF(B91=$B$10,0.9,1),0)</f>
        <v>250</v>
      </c>
      <c r="AC91" s="24">
        <f t="shared" ref="AC91:AG91" si="369">IF($L91&lt;=AC$8,1,0)</f>
        <v>1</v>
      </c>
      <c r="AD91" s="24">
        <f>ROUND(INDEX($C$2:$C$5,MATCH($E91,$B$2:$B$5,0))*$F91/SUMIFS($F:$F,$E:$E,$E91,$B:$B,$B91,AC:AC,1)*IF(B91=$B$10,0.9,1),0)</f>
        <v>250</v>
      </c>
      <c r="AE91" s="24">
        <f t="shared" si="369"/>
        <v>1</v>
      </c>
      <c r="AF91" s="24">
        <f>ROUND(INDEX($C$2:$C$5,MATCH($E91,$B$2:$B$5,0))*$G91/SUMIFS($G:$G,$E:$E,$E91,$B:$B,$B91,AE:AE,1)*IF(B91=$B$10,0.9,1),0)</f>
        <v>250</v>
      </c>
      <c r="AG91" s="24">
        <f t="shared" si="369"/>
        <v>1</v>
      </c>
      <c r="AH91" s="24">
        <f>ROUND(INDEX($C$2:$C$5,MATCH($E91,$B$2:$B$5,0))*$H91/SUMIFS($H:$H,$E:$E,$E91,$B:$B,$B91,AG:AG,1)*IF(B91=$B$10,0.9,1),0)</f>
        <v>250</v>
      </c>
      <c r="AI91" s="24">
        <f t="shared" ref="AI91:AM91" si="370">IF($L91&lt;=AI$8,1,0)</f>
        <v>1</v>
      </c>
      <c r="AJ91" s="24">
        <f>ROUND(INDEX($C$2:$C$5,MATCH($E91,$B$2:$B$5,0))*$F91/SUMIFS($F:$F,$E:$E,$E91,$B:$B,$B91,AI:AI,1)*IF(B91=$B$10,0.9,1),0)</f>
        <v>250</v>
      </c>
      <c r="AK91" s="24">
        <f t="shared" si="370"/>
        <v>1</v>
      </c>
      <c r="AL91" s="24">
        <f>ROUND(INDEX($C$2:$C$5,MATCH($E91,$B$2:$B$5,0))*$G91/SUMIFS($G:$G,$E:$E,$E91,$B:$B,$B91,AK:AK,1)*IF(B91=$B$10,0.9,1),0)</f>
        <v>250</v>
      </c>
      <c r="AM91" s="24">
        <f t="shared" si="370"/>
        <v>1</v>
      </c>
      <c r="AN91" s="24">
        <f>ROUND(INDEX($C$2:$C$5,MATCH($E91,$B$2:$B$5,0))*$H91/SUMIFS($H:$H,$E:$E,$E91,$B:$B,$B91,AM:AM,1)*IF(B91=$B$10,0.9,1),0)</f>
        <v>250</v>
      </c>
      <c r="AX91" s="4" t="str">
        <f t="shared" si="288"/>
        <v>1,250</v>
      </c>
      <c r="AY91" s="4" t="str">
        <f t="shared" si="289"/>
        <v>0,300</v>
      </c>
      <c r="AZ91" s="4" t="str">
        <f t="shared" si="290"/>
        <v>0,300</v>
      </c>
      <c r="BA91" s="4" t="str">
        <f t="shared" si="291"/>
        <v>0,300</v>
      </c>
      <c r="BB91" s="4" t="str">
        <f t="shared" si="292"/>
        <v>1,250</v>
      </c>
      <c r="BC91" s="4" t="str">
        <f t="shared" si="293"/>
        <v>1,250</v>
      </c>
      <c r="BD91" s="4" t="str">
        <f t="shared" si="294"/>
        <v>1,250</v>
      </c>
      <c r="BE91" s="4" t="str">
        <f t="shared" si="295"/>
        <v>1,250</v>
      </c>
      <c r="BF91" s="4" t="str">
        <f t="shared" si="296"/>
        <v>1,250</v>
      </c>
      <c r="BG91" s="4" t="str">
        <f t="shared" si="297"/>
        <v>1,250</v>
      </c>
      <c r="BH91" s="4" t="str">
        <f t="shared" si="298"/>
        <v>1,250</v>
      </c>
      <c r="BI91" s="4" t="str">
        <f t="shared" si="299"/>
        <v>1,250</v>
      </c>
      <c r="BJ91" s="4" t="str">
        <f t="shared" si="300"/>
        <v>1,250</v>
      </c>
    </row>
    <row r="92" customHeight="1" spans="1:62">
      <c r="A92" s="35">
        <v>542</v>
      </c>
      <c r="B92" s="60" t="s">
        <v>55</v>
      </c>
      <c r="C92" s="40"/>
      <c r="D92" s="46" t="s">
        <v>385</v>
      </c>
      <c r="E92" s="45">
        <v>3</v>
      </c>
      <c r="F92" s="35">
        <v>1</v>
      </c>
      <c r="G92" s="35">
        <f t="shared" si="301"/>
        <v>1</v>
      </c>
      <c r="H92" s="35">
        <v>1</v>
      </c>
      <c r="I92" s="35">
        <v>1</v>
      </c>
      <c r="J92" s="35">
        <v>1</v>
      </c>
      <c r="K92" s="35">
        <v>1</v>
      </c>
      <c r="L92" s="35">
        <v>1</v>
      </c>
      <c r="M92" s="35"/>
      <c r="N92">
        <f t="shared" si="302"/>
        <v>1500</v>
      </c>
      <c r="O92" s="35">
        <v>1</v>
      </c>
      <c r="P92" s="24">
        <f>ROUND(INDEX($C$2:$C$5,MATCH($E92,$B$2:$B$5,0))*$F92/SUMIFS($F:$F,$E:$E,$E92,$B:$B,$B92,O:O,1)*IF(B92=$B$10,0.9,1),0)</f>
        <v>250</v>
      </c>
      <c r="Q92" s="24">
        <f t="shared" ref="Q92:U92" si="371">IF($L92&lt;=Q$8,1,0)</f>
        <v>1</v>
      </c>
      <c r="R92" s="24">
        <f>ROUND(INDEX($C$2:$C$5,MATCH($E92,$B$2:$B$5,0))*$I92/SUMIFS($I:$I,$E:$E,$E92,$B:$B,$B92,Q:Q,1)*IF(B92=$B$10,0.9,1),0)</f>
        <v>300</v>
      </c>
      <c r="S92" s="24">
        <f t="shared" si="371"/>
        <v>1</v>
      </c>
      <c r="T92" s="24">
        <f>ROUND(INDEX($C$2:$C$5,MATCH($E92,$B$2:$B$5,0))*$J92/SUMIFS($J:$J,$E:$E,$E92,$B:$B,$B92,S:S,1)*IF(B92=$B$10,0.9,1),0)</f>
        <v>300</v>
      </c>
      <c r="U92" s="24">
        <f t="shared" si="371"/>
        <v>1</v>
      </c>
      <c r="V92" s="24">
        <f>ROUND(INDEX($C$2:$C$5,MATCH($E92,$B$2:$B$5,0))*$K92/SUMIFS($K:$K,$E:$E,$E92,$B:$B,$B92,U:U,1)*IF(B92=$B$10,0.9,1),0)</f>
        <v>300</v>
      </c>
      <c r="W92" s="24">
        <f t="shared" ref="W92:AA92" si="372">IF($L92&lt;=W$8,1,0)</f>
        <v>1</v>
      </c>
      <c r="X92" s="24">
        <f>ROUND(INDEX($C$2:$C$5,MATCH($E92,$B$2:$B$5,0))*$F92/SUMIFS($F:$F,$E:$E,$E92,$B:$B,$B92,W:W,1)*IF(B92=$B$10,0.9,1),0)</f>
        <v>250</v>
      </c>
      <c r="Y92" s="24">
        <f t="shared" si="372"/>
        <v>1</v>
      </c>
      <c r="Z92" s="24">
        <f>ROUND(INDEX($C$2:$C$5,MATCH($E92,$B$2:$B$5,0))*$G92/SUMIFS($G:$G,$E:$E,$E92,$B:$B,$B92,Y:Y,1)*IF(B92=$B$10,0.9,1),0)</f>
        <v>250</v>
      </c>
      <c r="AA92" s="24">
        <f t="shared" si="372"/>
        <v>1</v>
      </c>
      <c r="AB92" s="24">
        <f>ROUND(INDEX($C$2:$C$5,MATCH($E92,$B$2:$B$5,0))*$H92/SUMIFS($H:$H,$E:$E,$E92,$B:$B,$B92,AA:AA,1)*IF(B92=$B$10,0.9,1),0)</f>
        <v>250</v>
      </c>
      <c r="AC92" s="24">
        <f t="shared" ref="AC92:AG92" si="373">IF($L92&lt;=AC$8,1,0)</f>
        <v>1</v>
      </c>
      <c r="AD92" s="24">
        <f>ROUND(INDEX($C$2:$C$5,MATCH($E92,$B$2:$B$5,0))*$F92/SUMIFS($F:$F,$E:$E,$E92,$B:$B,$B92,AC:AC,1)*IF(B92=$B$10,0.9,1),0)</f>
        <v>250</v>
      </c>
      <c r="AE92" s="24">
        <f t="shared" si="373"/>
        <v>1</v>
      </c>
      <c r="AF92" s="24">
        <f>ROUND(INDEX($C$2:$C$5,MATCH($E92,$B$2:$B$5,0))*$G92/SUMIFS($G:$G,$E:$E,$E92,$B:$B,$B92,AE:AE,1)*IF(B92=$B$10,0.9,1),0)</f>
        <v>250</v>
      </c>
      <c r="AG92" s="24">
        <f t="shared" si="373"/>
        <v>1</v>
      </c>
      <c r="AH92" s="24">
        <f>ROUND(INDEX($C$2:$C$5,MATCH($E92,$B$2:$B$5,0))*$H92/SUMIFS($H:$H,$E:$E,$E92,$B:$B,$B92,AG:AG,1)*IF(B92=$B$10,0.9,1),0)</f>
        <v>250</v>
      </c>
      <c r="AI92" s="24">
        <f t="shared" ref="AI92:AM92" si="374">IF($L92&lt;=AI$8,1,0)</f>
        <v>1</v>
      </c>
      <c r="AJ92" s="24">
        <f>ROUND(INDEX($C$2:$C$5,MATCH($E92,$B$2:$B$5,0))*$F92/SUMIFS($F:$F,$E:$E,$E92,$B:$B,$B92,AI:AI,1)*IF(B92=$B$10,0.9,1),0)</f>
        <v>250</v>
      </c>
      <c r="AK92" s="24">
        <f t="shared" si="374"/>
        <v>1</v>
      </c>
      <c r="AL92" s="24">
        <f>ROUND(INDEX($C$2:$C$5,MATCH($E92,$B$2:$B$5,0))*$G92/SUMIFS($G:$G,$E:$E,$E92,$B:$B,$B92,AK:AK,1)*IF(B92=$B$10,0.9,1),0)</f>
        <v>250</v>
      </c>
      <c r="AM92" s="24">
        <f t="shared" si="374"/>
        <v>1</v>
      </c>
      <c r="AN92" s="24">
        <f>ROUND(INDEX($C$2:$C$5,MATCH($E92,$B$2:$B$5,0))*$H92/SUMIFS($H:$H,$E:$E,$E92,$B:$B,$B92,AM:AM,1)*IF(B92=$B$10,0.9,1),0)</f>
        <v>250</v>
      </c>
      <c r="AX92" s="4" t="str">
        <f t="shared" si="288"/>
        <v>1,250</v>
      </c>
      <c r="AY92" s="4" t="str">
        <f t="shared" si="289"/>
        <v>1,300</v>
      </c>
      <c r="AZ92" s="4" t="str">
        <f t="shared" si="290"/>
        <v>1,300</v>
      </c>
      <c r="BA92" s="4" t="str">
        <f t="shared" si="291"/>
        <v>1,300</v>
      </c>
      <c r="BB92" s="4" t="str">
        <f t="shared" si="292"/>
        <v>1,250</v>
      </c>
      <c r="BC92" s="4" t="str">
        <f t="shared" si="293"/>
        <v>1,250</v>
      </c>
      <c r="BD92" s="4" t="str">
        <f t="shared" si="294"/>
        <v>1,250</v>
      </c>
      <c r="BE92" s="4" t="str">
        <f t="shared" si="295"/>
        <v>1,250</v>
      </c>
      <c r="BF92" s="4" t="str">
        <f t="shared" si="296"/>
        <v>1,250</v>
      </c>
      <c r="BG92" s="4" t="str">
        <f t="shared" si="297"/>
        <v>1,250</v>
      </c>
      <c r="BH92" s="4" t="str">
        <f t="shared" si="298"/>
        <v>1,250</v>
      </c>
      <c r="BI92" s="4" t="str">
        <f t="shared" si="299"/>
        <v>1,250</v>
      </c>
      <c r="BJ92" s="4" t="str">
        <f t="shared" si="300"/>
        <v>1,250</v>
      </c>
    </row>
    <row r="93" customHeight="1" spans="1:62">
      <c r="A93" s="35">
        <v>551</v>
      </c>
      <c r="B93" s="60" t="s">
        <v>55</v>
      </c>
      <c r="C93" s="40"/>
      <c r="D93" s="47" t="s">
        <v>61</v>
      </c>
      <c r="E93" s="45">
        <v>4</v>
      </c>
      <c r="F93" s="35">
        <v>1</v>
      </c>
      <c r="G93" s="35">
        <f t="shared" si="301"/>
        <v>1</v>
      </c>
      <c r="H93" s="35">
        <v>1</v>
      </c>
      <c r="I93" s="35">
        <v>1</v>
      </c>
      <c r="J93" s="35">
        <v>1</v>
      </c>
      <c r="K93" s="35">
        <v>1</v>
      </c>
      <c r="L93" s="35">
        <v>3</v>
      </c>
      <c r="M93" s="35"/>
      <c r="N93">
        <f t="shared" si="302"/>
        <v>500</v>
      </c>
      <c r="O93" s="35">
        <v>1</v>
      </c>
      <c r="P93" s="24">
        <f>ROUND(INDEX($C$2:$C$5,MATCH($E93,$B$2:$B$5,0))*$F93/SUMIFS($F:$F,$E:$E,$E93,$B:$B,$B93,O:O,1)*IF(B93=$B$10,0.9,1),0)</f>
        <v>250</v>
      </c>
      <c r="Q93" s="24">
        <f t="shared" ref="Q93:U93" si="375">IF($L93&lt;=Q$8,1,0)</f>
        <v>0</v>
      </c>
      <c r="R93" s="24">
        <f>ROUND(INDEX($C$2:$C$5,MATCH($E93,$B$2:$B$5,0))*$I93/SUMIFS($I:$I,$E:$E,$E93,$B:$B,$B93,Q:Q,1)*IF(B93=$B$10,0.9,1),0)</f>
        <v>500</v>
      </c>
      <c r="S93" s="24">
        <f t="shared" si="375"/>
        <v>0</v>
      </c>
      <c r="T93" s="24">
        <f>ROUND(INDEX($C$2:$C$5,MATCH($E93,$B$2:$B$5,0))*$J93/SUMIFS($J:$J,$E:$E,$E93,$B:$B,$B93,S:S,1)*IF(B93=$B$10,0.9,1),0)</f>
        <v>500</v>
      </c>
      <c r="U93" s="24">
        <f t="shared" si="375"/>
        <v>0</v>
      </c>
      <c r="V93" s="24">
        <f>ROUND(INDEX($C$2:$C$5,MATCH($E93,$B$2:$B$5,0))*$K93/SUMIFS($K:$K,$E:$E,$E93,$B:$B,$B93,U:U,1)*IF(B93=$B$10,0.9,1),0)</f>
        <v>500</v>
      </c>
      <c r="W93" s="24">
        <f t="shared" ref="W93:AA93" si="376">IF($L93&lt;=W$8,1,0)</f>
        <v>0</v>
      </c>
      <c r="X93" s="24">
        <f>ROUND(INDEX($C$2:$C$5,MATCH($E93,$B$2:$B$5,0))*$F93/SUMIFS($F:$F,$E:$E,$E93,$B:$B,$B93,W:W,1)*IF(B93=$B$10,0.9,1),0)</f>
        <v>500</v>
      </c>
      <c r="Y93" s="24">
        <f t="shared" si="376"/>
        <v>0</v>
      </c>
      <c r="Z93" s="24">
        <f>ROUND(INDEX($C$2:$C$5,MATCH($E93,$B$2:$B$5,0))*$G93/SUMIFS($G:$G,$E:$E,$E93,$B:$B,$B93,Y:Y,1)*IF(B93=$B$10,0.9,1),0)</f>
        <v>500</v>
      </c>
      <c r="AA93" s="24">
        <f t="shared" si="376"/>
        <v>0</v>
      </c>
      <c r="AB93" s="24">
        <f>ROUND(INDEX($C$2:$C$5,MATCH($E93,$B$2:$B$5,0))*$H93/SUMIFS($H:$H,$E:$E,$E93,$B:$B,$B93,AA:AA,1)*IF(B93=$B$10,0.9,1),0)</f>
        <v>500</v>
      </c>
      <c r="AC93" s="24">
        <f t="shared" ref="AC93:AG93" si="377">IF($L93&lt;=AC$8,1,0)</f>
        <v>1</v>
      </c>
      <c r="AD93" s="24">
        <f>ROUND(INDEX($C$2:$C$5,MATCH($E93,$B$2:$B$5,0))*$F93/SUMIFS($F:$F,$E:$E,$E93,$B:$B,$B93,AC:AC,1)*IF(B93=$B$10,0.9,1),0)</f>
        <v>250</v>
      </c>
      <c r="AE93" s="24">
        <f t="shared" si="377"/>
        <v>1</v>
      </c>
      <c r="AF93" s="24">
        <f>ROUND(INDEX($C$2:$C$5,MATCH($E93,$B$2:$B$5,0))*$G93/SUMIFS($G:$G,$E:$E,$E93,$B:$B,$B93,AE:AE,1)*IF(B93=$B$10,0.9,1),0)</f>
        <v>250</v>
      </c>
      <c r="AG93" s="24">
        <f t="shared" si="377"/>
        <v>1</v>
      </c>
      <c r="AH93" s="24">
        <f>ROUND(INDEX($C$2:$C$5,MATCH($E93,$B$2:$B$5,0))*$H93/SUMIFS($H:$H,$E:$E,$E93,$B:$B,$B93,AG:AG,1)*IF(B93=$B$10,0.9,1),0)</f>
        <v>250</v>
      </c>
      <c r="AI93" s="24">
        <f t="shared" ref="AI93:AM93" si="378">IF($L93&lt;=AI$8,1,0)</f>
        <v>1</v>
      </c>
      <c r="AJ93" s="24">
        <f>ROUND(INDEX($C$2:$C$5,MATCH($E93,$B$2:$B$5,0))*$F93/SUMIFS($F:$F,$E:$E,$E93,$B:$B,$B93,AI:AI,1)*IF(B93=$B$10,0.9,1),0)</f>
        <v>250</v>
      </c>
      <c r="AK93" s="24">
        <f t="shared" si="378"/>
        <v>1</v>
      </c>
      <c r="AL93" s="24">
        <f>ROUND(INDEX($C$2:$C$5,MATCH($E93,$B$2:$B$5,0))*$G93/SUMIFS($G:$G,$E:$E,$E93,$B:$B,$B93,AK:AK,1)*IF(B93=$B$10,0.9,1),0)</f>
        <v>250</v>
      </c>
      <c r="AM93" s="24">
        <f t="shared" si="378"/>
        <v>1</v>
      </c>
      <c r="AN93" s="24">
        <f>ROUND(INDEX($C$2:$C$5,MATCH($E93,$B$2:$B$5,0))*$H93/SUMIFS($H:$H,$E:$E,$E93,$B:$B,$B93,AM:AM,1)*IF(B93=$B$10,0.9,1),0)</f>
        <v>250</v>
      </c>
      <c r="AX93" s="4" t="str">
        <f t="shared" si="288"/>
        <v>1,250</v>
      </c>
      <c r="AY93" s="4" t="str">
        <f t="shared" si="289"/>
        <v>0,500</v>
      </c>
      <c r="AZ93" s="4" t="str">
        <f t="shared" si="290"/>
        <v>0,500</v>
      </c>
      <c r="BA93" s="4" t="str">
        <f t="shared" si="291"/>
        <v>0,500</v>
      </c>
      <c r="BB93" s="4" t="str">
        <f t="shared" si="292"/>
        <v>0,500</v>
      </c>
      <c r="BC93" s="4" t="str">
        <f t="shared" si="293"/>
        <v>0,500</v>
      </c>
      <c r="BD93" s="4" t="str">
        <f t="shared" si="294"/>
        <v>0,500</v>
      </c>
      <c r="BE93" s="4" t="str">
        <f t="shared" si="295"/>
        <v>1,250</v>
      </c>
      <c r="BF93" s="4" t="str">
        <f t="shared" si="296"/>
        <v>1,250</v>
      </c>
      <c r="BG93" s="4" t="str">
        <f t="shared" si="297"/>
        <v>1,250</v>
      </c>
      <c r="BH93" s="4" t="str">
        <f t="shared" si="298"/>
        <v>1,250</v>
      </c>
      <c r="BI93" s="4" t="str">
        <f t="shared" si="299"/>
        <v>1,250</v>
      </c>
      <c r="BJ93" s="4" t="str">
        <f t="shared" si="300"/>
        <v>1,250</v>
      </c>
    </row>
    <row r="94" customHeight="1" spans="1:62">
      <c r="A94" s="35">
        <v>552</v>
      </c>
      <c r="B94" s="60" t="s">
        <v>55</v>
      </c>
      <c r="C94" s="40"/>
      <c r="D94" s="48" t="s">
        <v>386</v>
      </c>
      <c r="E94" s="45">
        <v>4</v>
      </c>
      <c r="F94" s="35">
        <v>1</v>
      </c>
      <c r="G94" s="35">
        <f t="shared" si="301"/>
        <v>1</v>
      </c>
      <c r="H94" s="35">
        <v>1</v>
      </c>
      <c r="I94" s="35">
        <v>1</v>
      </c>
      <c r="J94" s="35">
        <v>1</v>
      </c>
      <c r="K94" s="35">
        <v>1</v>
      </c>
      <c r="L94" s="35">
        <v>1</v>
      </c>
      <c r="M94" s="35" t="s">
        <v>136</v>
      </c>
      <c r="N94">
        <f t="shared" si="302"/>
        <v>500</v>
      </c>
      <c r="O94" s="35">
        <v>1</v>
      </c>
      <c r="P94" s="24">
        <f>ROUND(INDEX($C$2:$C$5,MATCH($E94,$B$2:$B$5,0))*$F94/SUMIFS($F:$F,$E:$E,$E94,$B:$B,$B94,O:O,1)*IF(B94=$B$10,0.9,1),0)</f>
        <v>250</v>
      </c>
      <c r="Q94" s="24">
        <f t="shared" ref="Q94:U94" si="379">IF($L94&lt;=Q$8,1,0)</f>
        <v>1</v>
      </c>
      <c r="R94" s="24">
        <f>ROUND(INDEX($C$2:$C$5,MATCH($E94,$B$2:$B$5,0))*$I94/SUMIFS($I:$I,$E:$E,$E94,$B:$B,$B94,Q:Q,1)*IF(B94=$B$10,0.9,1),0)</f>
        <v>500</v>
      </c>
      <c r="S94" s="24">
        <f t="shared" si="379"/>
        <v>1</v>
      </c>
      <c r="T94" s="24">
        <f>ROUND(INDEX($C$2:$C$5,MATCH($E94,$B$2:$B$5,0))*$J94/SUMIFS($J:$J,$E:$E,$E94,$B:$B,$B94,S:S,1)*IF(B94=$B$10,0.9,1),0)</f>
        <v>500</v>
      </c>
      <c r="U94" s="24">
        <f t="shared" si="379"/>
        <v>1</v>
      </c>
      <c r="V94" s="24">
        <f>ROUND(INDEX($C$2:$C$5,MATCH($E94,$B$2:$B$5,0))*$K94/SUMIFS($K:$K,$E:$E,$E94,$B:$B,$B94,U:U,1)*IF(B94=$B$10,0.9,1),0)</f>
        <v>500</v>
      </c>
      <c r="W94" s="24">
        <f t="shared" ref="W94:AA94" si="380">IF($L94&lt;=W$8,1,0)</f>
        <v>1</v>
      </c>
      <c r="X94" s="24">
        <f>ROUND(INDEX($C$2:$C$5,MATCH($E94,$B$2:$B$5,0))*$F94/SUMIFS($F:$F,$E:$E,$E94,$B:$B,$B94,W:W,1)*IF(B94=$B$10,0.9,1),0)</f>
        <v>500</v>
      </c>
      <c r="Y94" s="24">
        <f t="shared" si="380"/>
        <v>1</v>
      </c>
      <c r="Z94" s="24">
        <f>ROUND(INDEX($C$2:$C$5,MATCH($E94,$B$2:$B$5,0))*$G94/SUMIFS($G:$G,$E:$E,$E94,$B:$B,$B94,Y:Y,1)*IF(B94=$B$10,0.9,1),0)</f>
        <v>500</v>
      </c>
      <c r="AA94" s="24">
        <f t="shared" si="380"/>
        <v>1</v>
      </c>
      <c r="AB94" s="24">
        <f>ROUND(INDEX($C$2:$C$5,MATCH($E94,$B$2:$B$5,0))*$H94/SUMIFS($H:$H,$E:$E,$E94,$B:$B,$B94,AA:AA,1)*IF(B94=$B$10,0.9,1),0)</f>
        <v>500</v>
      </c>
      <c r="AC94" s="24">
        <f t="shared" ref="AC94:AG94" si="381">IF($L94&lt;=AC$8,1,0)</f>
        <v>1</v>
      </c>
      <c r="AD94" s="24">
        <f>ROUND(INDEX($C$2:$C$5,MATCH($E94,$B$2:$B$5,0))*$F94/SUMIFS($F:$F,$E:$E,$E94,$B:$B,$B94,AC:AC,1)*IF(B94=$B$10,0.9,1),0)</f>
        <v>250</v>
      </c>
      <c r="AE94" s="24">
        <f t="shared" si="381"/>
        <v>1</v>
      </c>
      <c r="AF94" s="24">
        <f>ROUND(INDEX($C$2:$C$5,MATCH($E94,$B$2:$B$5,0))*$G94/SUMIFS($G:$G,$E:$E,$E94,$B:$B,$B94,AE:AE,1)*IF(B94=$B$10,0.9,1),0)</f>
        <v>250</v>
      </c>
      <c r="AG94" s="24">
        <f t="shared" si="381"/>
        <v>1</v>
      </c>
      <c r="AH94" s="24">
        <f>ROUND(INDEX($C$2:$C$5,MATCH($E94,$B$2:$B$5,0))*$H94/SUMIFS($H:$H,$E:$E,$E94,$B:$B,$B94,AG:AG,1)*IF(B94=$B$10,0.9,1),0)</f>
        <v>250</v>
      </c>
      <c r="AI94" s="24">
        <f t="shared" ref="AI94:AM94" si="382">IF($L94&lt;=AI$8,1,0)</f>
        <v>1</v>
      </c>
      <c r="AJ94" s="24">
        <f>ROUND(INDEX($C$2:$C$5,MATCH($E94,$B$2:$B$5,0))*$F94/SUMIFS($F:$F,$E:$E,$E94,$B:$B,$B94,AI:AI,1)*IF(B94=$B$10,0.9,1),0)</f>
        <v>250</v>
      </c>
      <c r="AK94" s="24">
        <f t="shared" si="382"/>
        <v>1</v>
      </c>
      <c r="AL94" s="24">
        <f>ROUND(INDEX($C$2:$C$5,MATCH($E94,$B$2:$B$5,0))*$G94/SUMIFS($G:$G,$E:$E,$E94,$B:$B,$B94,AK:AK,1)*IF(B94=$B$10,0.9,1),0)</f>
        <v>250</v>
      </c>
      <c r="AM94" s="24">
        <f t="shared" si="382"/>
        <v>1</v>
      </c>
      <c r="AN94" s="24">
        <f>ROUND(INDEX($C$2:$C$5,MATCH($E94,$B$2:$B$5,0))*$H94/SUMIFS($H:$H,$E:$E,$E94,$B:$B,$B94,AM:AM,1)*IF(B94=$B$10,0.9,1),0)</f>
        <v>250</v>
      </c>
      <c r="AX94" s="4" t="str">
        <f t="shared" si="288"/>
        <v>1,250</v>
      </c>
      <c r="AY94" s="4" t="str">
        <f t="shared" si="289"/>
        <v>1,500</v>
      </c>
      <c r="AZ94" s="4" t="str">
        <f t="shared" si="290"/>
        <v>1,500</v>
      </c>
      <c r="BA94" s="4" t="str">
        <f t="shared" si="291"/>
        <v>1,500</v>
      </c>
      <c r="BB94" s="4" t="str">
        <f t="shared" si="292"/>
        <v>1,500</v>
      </c>
      <c r="BC94" s="4" t="str">
        <f t="shared" si="293"/>
        <v>1,500</v>
      </c>
      <c r="BD94" s="4" t="str">
        <f t="shared" si="294"/>
        <v>1,500</v>
      </c>
      <c r="BE94" s="4" t="str">
        <f t="shared" si="295"/>
        <v>1,250</v>
      </c>
      <c r="BF94" s="4" t="str">
        <f t="shared" si="296"/>
        <v>1,250</v>
      </c>
      <c r="BG94" s="4" t="str">
        <f t="shared" si="297"/>
        <v>1,250</v>
      </c>
      <c r="BH94" s="4" t="str">
        <f t="shared" si="298"/>
        <v>1,250</v>
      </c>
      <c r="BI94" s="4" t="str">
        <f t="shared" si="299"/>
        <v>1,250</v>
      </c>
      <c r="BJ94" s="4" t="str">
        <f t="shared" si="300"/>
        <v>1,250</v>
      </c>
    </row>
    <row r="95" customHeight="1" spans="1:62">
      <c r="A95" s="35">
        <v>601</v>
      </c>
      <c r="B95" s="60" t="s">
        <v>63</v>
      </c>
      <c r="C95" s="40" t="s">
        <v>218</v>
      </c>
      <c r="D95" s="41" t="s">
        <v>356</v>
      </c>
      <c r="E95" s="43">
        <v>1</v>
      </c>
      <c r="F95" s="35">
        <v>1</v>
      </c>
      <c r="G95" s="35">
        <f t="shared" si="301"/>
        <v>1</v>
      </c>
      <c r="H95" s="35">
        <v>1</v>
      </c>
      <c r="I95" s="35">
        <v>1</v>
      </c>
      <c r="J95" s="35">
        <v>1</v>
      </c>
      <c r="K95" s="35">
        <v>1</v>
      </c>
      <c r="L95" s="35">
        <v>1</v>
      </c>
      <c r="M95" s="35" t="s">
        <v>136</v>
      </c>
      <c r="N95">
        <f t="shared" si="302"/>
        <v>13500</v>
      </c>
      <c r="O95" s="35">
        <v>1</v>
      </c>
      <c r="P95" s="24">
        <f>ROUND(INDEX($C$2:$C$5,MATCH($E95,$B$2:$B$5,0))*$F95/SUMIFS($F:$F,$E:$E,$E95,$B:$B,$B95,O:O,1)*IF(B95=$B$10,0.9,1),0)</f>
        <v>4500</v>
      </c>
      <c r="Q95" s="24">
        <f t="shared" ref="Q95:U95" si="383">IF($L95&lt;=Q$8,1,0)</f>
        <v>1</v>
      </c>
      <c r="R95" s="24">
        <f>ROUND(INDEX($C$2:$C$5,MATCH($E95,$B$2:$B$5,0))*$I95/SUMIFS($I:$I,$E:$E,$E95,$B:$B,$B95,Q:Q,1)*IF(B95=$B$10,0.9,1),0)</f>
        <v>4500</v>
      </c>
      <c r="S95" s="24">
        <f t="shared" si="383"/>
        <v>1</v>
      </c>
      <c r="T95" s="24">
        <f>ROUND(INDEX($C$2:$C$5,MATCH($E95,$B$2:$B$5,0))*$J95/SUMIFS($J:$J,$E:$E,$E95,$B:$B,$B95,S:S,1)*IF(B95=$B$10,0.9,1),0)</f>
        <v>4500</v>
      </c>
      <c r="U95" s="24">
        <f t="shared" si="383"/>
        <v>1</v>
      </c>
      <c r="V95" s="24">
        <f>ROUND(INDEX($C$2:$C$5,MATCH($E95,$B$2:$B$5,0))*$K95/SUMIFS($K:$K,$E:$E,$E95,$B:$B,$B95,U:U,1)*IF(B95=$B$10,0.9,1),0)</f>
        <v>4500</v>
      </c>
      <c r="W95" s="24">
        <f t="shared" ref="W95:AA95" si="384">IF($L95&lt;=W$8,1,0)</f>
        <v>1</v>
      </c>
      <c r="X95" s="24">
        <f>ROUND(INDEX($C$2:$C$5,MATCH($E95,$B$2:$B$5,0))*$F95/SUMIFS($F:$F,$E:$E,$E95,$B:$B,$B95,W:W,1)*IF(B95=$B$10,0.9,1),0)</f>
        <v>4500</v>
      </c>
      <c r="Y95" s="24">
        <f t="shared" si="384"/>
        <v>1</v>
      </c>
      <c r="Z95" s="24">
        <f>ROUND(INDEX($C$2:$C$5,MATCH($E95,$B$2:$B$5,0))*$G95/SUMIFS($G:$G,$E:$E,$E95,$B:$B,$B95,Y:Y,1)*IF(B95=$B$10,0.9,1),0)</f>
        <v>4500</v>
      </c>
      <c r="AA95" s="24">
        <f t="shared" si="384"/>
        <v>1</v>
      </c>
      <c r="AB95" s="24">
        <f>ROUND(INDEX($C$2:$C$5,MATCH($E95,$B$2:$B$5,0))*$H95/SUMIFS($H:$H,$E:$E,$E95,$B:$B,$B95,AA:AA,1)*IF(B95=$B$10,0.9,1),0)</f>
        <v>4500</v>
      </c>
      <c r="AC95" s="24">
        <f t="shared" ref="AC95:AG95" si="385">IF($L95&lt;=AC$8,1,0)</f>
        <v>1</v>
      </c>
      <c r="AD95" s="24">
        <f>ROUND(INDEX($C$2:$C$5,MATCH($E95,$B$2:$B$5,0))*$F95/SUMIFS($F:$F,$E:$E,$E95,$B:$B,$B95,AC:AC,1)*IF(B95=$B$10,0.9,1),0)</f>
        <v>4500</v>
      </c>
      <c r="AE95" s="24">
        <f t="shared" si="385"/>
        <v>1</v>
      </c>
      <c r="AF95" s="24">
        <f>ROUND(INDEX($C$2:$C$5,MATCH($E95,$B$2:$B$5,0))*$G95/SUMIFS($G:$G,$E:$E,$E95,$B:$B,$B95,AE:AE,1)*IF(B95=$B$10,0.9,1),0)</f>
        <v>4500</v>
      </c>
      <c r="AG95" s="24">
        <f t="shared" si="385"/>
        <v>1</v>
      </c>
      <c r="AH95" s="24">
        <f>ROUND(INDEX($C$2:$C$5,MATCH($E95,$B$2:$B$5,0))*$H95/SUMIFS($H:$H,$E:$E,$E95,$B:$B,$B95,AG:AG,1)*IF(B95=$B$10,0.9,1),0)</f>
        <v>4500</v>
      </c>
      <c r="AI95" s="24">
        <f t="shared" ref="AI95:AM95" si="386">IF($L95&lt;=AI$8,1,0)</f>
        <v>1</v>
      </c>
      <c r="AJ95" s="24">
        <f>ROUND(INDEX($C$2:$C$5,MATCH($E95,$B$2:$B$5,0))*$F95/SUMIFS($F:$F,$E:$E,$E95,$B:$B,$B95,AI:AI,1)*IF(B95=$B$10,0.9,1),0)</f>
        <v>4500</v>
      </c>
      <c r="AK95" s="24">
        <f t="shared" si="386"/>
        <v>1</v>
      </c>
      <c r="AL95" s="24">
        <f>ROUND(INDEX($C$2:$C$5,MATCH($E95,$B$2:$B$5,0))*$G95/SUMIFS($G:$G,$E:$E,$E95,$B:$B,$B95,AK:AK,1)*IF(B95=$B$10,0.9,1),0)</f>
        <v>4500</v>
      </c>
      <c r="AM95" s="24">
        <f t="shared" si="386"/>
        <v>1</v>
      </c>
      <c r="AN95" s="24">
        <f>ROUND(INDEX($C$2:$C$5,MATCH($E95,$B$2:$B$5,0))*$H95/SUMIFS($H:$H,$E:$E,$E95,$B:$B,$B95,AM:AM,1)*IF(B95=$B$10,0.9,1),0)</f>
        <v>4500</v>
      </c>
      <c r="AX95" s="4" t="str">
        <f t="shared" si="288"/>
        <v>1,4500</v>
      </c>
      <c r="AY95" s="4" t="str">
        <f t="shared" si="289"/>
        <v>1,4500</v>
      </c>
      <c r="AZ95" s="4" t="str">
        <f t="shared" si="290"/>
        <v>1,4500</v>
      </c>
      <c r="BA95" s="4" t="str">
        <f t="shared" si="291"/>
        <v>1,4500</v>
      </c>
      <c r="BB95" s="4" t="str">
        <f t="shared" si="292"/>
        <v>1,4500</v>
      </c>
      <c r="BC95" s="4" t="str">
        <f t="shared" si="293"/>
        <v>1,4500</v>
      </c>
      <c r="BD95" s="4" t="str">
        <f t="shared" si="294"/>
        <v>1,4500</v>
      </c>
      <c r="BE95" s="4" t="str">
        <f t="shared" si="295"/>
        <v>1,4500</v>
      </c>
      <c r="BF95" s="4" t="str">
        <f t="shared" si="296"/>
        <v>1,4500</v>
      </c>
      <c r="BG95" s="4" t="str">
        <f t="shared" si="297"/>
        <v>1,4500</v>
      </c>
      <c r="BH95" s="4" t="str">
        <f t="shared" si="298"/>
        <v>1,4500</v>
      </c>
      <c r="BI95" s="4" t="str">
        <f t="shared" si="299"/>
        <v>1,4500</v>
      </c>
      <c r="BJ95" s="4" t="str">
        <f t="shared" si="300"/>
        <v>1,4500</v>
      </c>
    </row>
    <row r="96" customHeight="1" spans="1:62">
      <c r="A96" s="35">
        <v>602</v>
      </c>
      <c r="B96" s="60" t="s">
        <v>63</v>
      </c>
      <c r="C96" s="40" t="s">
        <v>218</v>
      </c>
      <c r="D96" s="41" t="s">
        <v>357</v>
      </c>
      <c r="E96" s="43">
        <v>1</v>
      </c>
      <c r="F96" s="35">
        <v>1</v>
      </c>
      <c r="G96" s="35">
        <f t="shared" si="301"/>
        <v>1</v>
      </c>
      <c r="H96" s="35">
        <v>1</v>
      </c>
      <c r="I96" s="35">
        <v>1</v>
      </c>
      <c r="J96" s="35">
        <v>1</v>
      </c>
      <c r="K96" s="35">
        <v>1</v>
      </c>
      <c r="L96" s="35">
        <v>1</v>
      </c>
      <c r="M96" s="35" t="s">
        <v>136</v>
      </c>
      <c r="N96">
        <f t="shared" si="302"/>
        <v>13500</v>
      </c>
      <c r="O96" s="35">
        <v>1</v>
      </c>
      <c r="P96" s="24">
        <f>ROUND(INDEX($C$2:$C$5,MATCH($E96,$B$2:$B$5,0))*$F96/SUMIFS($F:$F,$E:$E,$E96,$B:$B,$B96,O:O,1)*IF(B96=$B$10,0.9,1),0)</f>
        <v>4500</v>
      </c>
      <c r="Q96" s="24">
        <f t="shared" ref="Q96:U96" si="387">IF($L96&lt;=Q$8,1,0)</f>
        <v>1</v>
      </c>
      <c r="R96" s="24">
        <f>ROUND(INDEX($C$2:$C$5,MATCH($E96,$B$2:$B$5,0))*$I96/SUMIFS($I:$I,$E:$E,$E96,$B:$B,$B96,Q:Q,1)*IF(B96=$B$10,0.9,1),0)</f>
        <v>4500</v>
      </c>
      <c r="S96" s="24">
        <f t="shared" si="387"/>
        <v>1</v>
      </c>
      <c r="T96" s="24">
        <f>ROUND(INDEX($C$2:$C$5,MATCH($E96,$B$2:$B$5,0))*$J96/SUMIFS($J:$J,$E:$E,$E96,$B:$B,$B96,S:S,1)*IF(B96=$B$10,0.9,1),0)</f>
        <v>4500</v>
      </c>
      <c r="U96" s="24">
        <f t="shared" si="387"/>
        <v>1</v>
      </c>
      <c r="V96" s="24">
        <f>ROUND(INDEX($C$2:$C$5,MATCH($E96,$B$2:$B$5,0))*$K96/SUMIFS($K:$K,$E:$E,$E96,$B:$B,$B96,U:U,1)*IF(B96=$B$10,0.9,1),0)</f>
        <v>4500</v>
      </c>
      <c r="W96" s="24">
        <f t="shared" ref="W96:AA96" si="388">IF($L96&lt;=W$8,1,0)</f>
        <v>1</v>
      </c>
      <c r="X96" s="24">
        <f>ROUND(INDEX($C$2:$C$5,MATCH($E96,$B$2:$B$5,0))*$F96/SUMIFS($F:$F,$E:$E,$E96,$B:$B,$B96,W:W,1)*IF(B96=$B$10,0.9,1),0)</f>
        <v>4500</v>
      </c>
      <c r="Y96" s="24">
        <f t="shared" si="388"/>
        <v>1</v>
      </c>
      <c r="Z96" s="24">
        <f>ROUND(INDEX($C$2:$C$5,MATCH($E96,$B$2:$B$5,0))*$G96/SUMIFS($G:$G,$E:$E,$E96,$B:$B,$B96,Y:Y,1)*IF(B96=$B$10,0.9,1),0)</f>
        <v>4500</v>
      </c>
      <c r="AA96" s="24">
        <f t="shared" si="388"/>
        <v>1</v>
      </c>
      <c r="AB96" s="24">
        <f>ROUND(INDEX($C$2:$C$5,MATCH($E96,$B$2:$B$5,0))*$H96/SUMIFS($H:$H,$E:$E,$E96,$B:$B,$B96,AA:AA,1)*IF(B96=$B$10,0.9,1),0)</f>
        <v>4500</v>
      </c>
      <c r="AC96" s="24">
        <f t="shared" ref="AC96:AG96" si="389">IF($L96&lt;=AC$8,1,0)</f>
        <v>1</v>
      </c>
      <c r="AD96" s="24">
        <f>ROUND(INDEX($C$2:$C$5,MATCH($E96,$B$2:$B$5,0))*$F96/SUMIFS($F:$F,$E:$E,$E96,$B:$B,$B96,AC:AC,1)*IF(B96=$B$10,0.9,1),0)</f>
        <v>4500</v>
      </c>
      <c r="AE96" s="24">
        <f t="shared" si="389"/>
        <v>1</v>
      </c>
      <c r="AF96" s="24">
        <f>ROUND(INDEX($C$2:$C$5,MATCH($E96,$B$2:$B$5,0))*$G96/SUMIFS($G:$G,$E:$E,$E96,$B:$B,$B96,AE:AE,1)*IF(B96=$B$10,0.9,1),0)</f>
        <v>4500</v>
      </c>
      <c r="AG96" s="24">
        <f t="shared" si="389"/>
        <v>1</v>
      </c>
      <c r="AH96" s="24">
        <f>ROUND(INDEX($C$2:$C$5,MATCH($E96,$B$2:$B$5,0))*$H96/SUMIFS($H:$H,$E:$E,$E96,$B:$B,$B96,AG:AG,1)*IF(B96=$B$10,0.9,1),0)</f>
        <v>4500</v>
      </c>
      <c r="AI96" s="24">
        <f t="shared" ref="AI96:AM96" si="390">IF($L96&lt;=AI$8,1,0)</f>
        <v>1</v>
      </c>
      <c r="AJ96" s="24">
        <f>ROUND(INDEX($C$2:$C$5,MATCH($E96,$B$2:$B$5,0))*$F96/SUMIFS($F:$F,$E:$E,$E96,$B:$B,$B96,AI:AI,1)*IF(B96=$B$10,0.9,1),0)</f>
        <v>4500</v>
      </c>
      <c r="AK96" s="24">
        <f t="shared" si="390"/>
        <v>1</v>
      </c>
      <c r="AL96" s="24">
        <f>ROUND(INDEX($C$2:$C$5,MATCH($E96,$B$2:$B$5,0))*$G96/SUMIFS($G:$G,$E:$E,$E96,$B:$B,$B96,AK:AK,1)*IF(B96=$B$10,0.9,1),0)</f>
        <v>4500</v>
      </c>
      <c r="AM96" s="24">
        <f t="shared" si="390"/>
        <v>1</v>
      </c>
      <c r="AN96" s="24">
        <f>ROUND(INDEX($C$2:$C$5,MATCH($E96,$B$2:$B$5,0))*$H96/SUMIFS($H:$H,$E:$E,$E96,$B:$B,$B96,AM:AM,1)*IF(B96=$B$10,0.9,1),0)</f>
        <v>4500</v>
      </c>
      <c r="AX96" s="4" t="str">
        <f t="shared" si="288"/>
        <v>1,4500</v>
      </c>
      <c r="AY96" s="4" t="str">
        <f t="shared" si="289"/>
        <v>1,4500</v>
      </c>
      <c r="AZ96" s="4" t="str">
        <f t="shared" si="290"/>
        <v>1,4500</v>
      </c>
      <c r="BA96" s="4" t="str">
        <f t="shared" si="291"/>
        <v>1,4500</v>
      </c>
      <c r="BB96" s="4" t="str">
        <f t="shared" si="292"/>
        <v>1,4500</v>
      </c>
      <c r="BC96" s="4" t="str">
        <f t="shared" si="293"/>
        <v>1,4500</v>
      </c>
      <c r="BD96" s="4" t="str">
        <f t="shared" si="294"/>
        <v>1,4500</v>
      </c>
      <c r="BE96" s="4" t="str">
        <f t="shared" si="295"/>
        <v>1,4500</v>
      </c>
      <c r="BF96" s="4" t="str">
        <f t="shared" si="296"/>
        <v>1,4500</v>
      </c>
      <c r="BG96" s="4" t="str">
        <f t="shared" si="297"/>
        <v>1,4500</v>
      </c>
      <c r="BH96" s="4" t="str">
        <f t="shared" si="298"/>
        <v>1,4500</v>
      </c>
      <c r="BI96" s="4" t="str">
        <f t="shared" si="299"/>
        <v>1,4500</v>
      </c>
      <c r="BJ96" s="4" t="str">
        <f t="shared" si="300"/>
        <v>1,4500</v>
      </c>
    </row>
    <row r="97" customHeight="1" spans="1:62">
      <c r="A97" s="35">
        <v>603</v>
      </c>
      <c r="B97" s="60" t="s">
        <v>63</v>
      </c>
      <c r="C97" s="40" t="s">
        <v>218</v>
      </c>
      <c r="D97" s="41" t="s">
        <v>361</v>
      </c>
      <c r="E97" s="45">
        <v>1</v>
      </c>
      <c r="F97" s="35">
        <v>1</v>
      </c>
      <c r="G97" s="35">
        <f t="shared" si="301"/>
        <v>1</v>
      </c>
      <c r="H97" s="35">
        <v>1</v>
      </c>
      <c r="I97" s="35">
        <v>1</v>
      </c>
      <c r="J97" s="35">
        <v>1</v>
      </c>
      <c r="K97" s="35">
        <v>1</v>
      </c>
      <c r="L97" s="35">
        <v>1</v>
      </c>
      <c r="M97" s="35"/>
      <c r="N97">
        <f t="shared" si="302"/>
        <v>13500</v>
      </c>
      <c r="O97" s="35">
        <v>1</v>
      </c>
      <c r="P97" s="24">
        <f>ROUND(INDEX($C$2:$C$5,MATCH($E97,$B$2:$B$5,0))*$F97/SUMIFS($F:$F,$E:$E,$E97,$B:$B,$B97,O:O,1)*IF(B97=$B$10,0.9,1),0)</f>
        <v>4500</v>
      </c>
      <c r="Q97" s="24">
        <f t="shared" ref="Q97:U97" si="391">IF($L97&lt;=Q$8,1,0)</f>
        <v>1</v>
      </c>
      <c r="R97" s="24">
        <f>ROUND(INDEX($C$2:$C$5,MATCH($E97,$B$2:$B$5,0))*$I97/SUMIFS($I:$I,$E:$E,$E97,$B:$B,$B97,Q:Q,1)*IF(B97=$B$10,0.9,1),0)</f>
        <v>4500</v>
      </c>
      <c r="S97" s="24">
        <f t="shared" si="391"/>
        <v>1</v>
      </c>
      <c r="T97" s="24">
        <f>ROUND(INDEX($C$2:$C$5,MATCH($E97,$B$2:$B$5,0))*$J97/SUMIFS($J:$J,$E:$E,$E97,$B:$B,$B97,S:S,1)*IF(B97=$B$10,0.9,1),0)</f>
        <v>4500</v>
      </c>
      <c r="U97" s="24">
        <f t="shared" si="391"/>
        <v>1</v>
      </c>
      <c r="V97" s="24">
        <f>ROUND(INDEX($C$2:$C$5,MATCH($E97,$B$2:$B$5,0))*$K97/SUMIFS($K:$K,$E:$E,$E97,$B:$B,$B97,U:U,1)*IF(B97=$B$10,0.9,1),0)</f>
        <v>4500</v>
      </c>
      <c r="W97" s="24">
        <f t="shared" ref="W97:AA97" si="392">IF($L97&lt;=W$8,1,0)</f>
        <v>1</v>
      </c>
      <c r="X97" s="24">
        <f>ROUND(INDEX($C$2:$C$5,MATCH($E97,$B$2:$B$5,0))*$F97/SUMIFS($F:$F,$E:$E,$E97,$B:$B,$B97,W:W,1)*IF(B97=$B$10,0.9,1),0)</f>
        <v>4500</v>
      </c>
      <c r="Y97" s="24">
        <f t="shared" si="392"/>
        <v>1</v>
      </c>
      <c r="Z97" s="24">
        <f>ROUND(INDEX($C$2:$C$5,MATCH($E97,$B$2:$B$5,0))*$G97/SUMIFS($G:$G,$E:$E,$E97,$B:$B,$B97,Y:Y,1)*IF(B97=$B$10,0.9,1),0)</f>
        <v>4500</v>
      </c>
      <c r="AA97" s="24">
        <f t="shared" si="392"/>
        <v>1</v>
      </c>
      <c r="AB97" s="24">
        <f>ROUND(INDEX($C$2:$C$5,MATCH($E97,$B$2:$B$5,0))*$H97/SUMIFS($H:$H,$E:$E,$E97,$B:$B,$B97,AA:AA,1)*IF(B97=$B$10,0.9,1),0)</f>
        <v>4500</v>
      </c>
      <c r="AC97" s="24">
        <f t="shared" ref="AC97:AG97" si="393">IF($L97&lt;=AC$8,1,0)</f>
        <v>1</v>
      </c>
      <c r="AD97" s="24">
        <f>ROUND(INDEX($C$2:$C$5,MATCH($E97,$B$2:$B$5,0))*$F97/SUMIFS($F:$F,$E:$E,$E97,$B:$B,$B97,AC:AC,1)*IF(B97=$B$10,0.9,1),0)</f>
        <v>4500</v>
      </c>
      <c r="AE97" s="24">
        <f t="shared" si="393"/>
        <v>1</v>
      </c>
      <c r="AF97" s="24">
        <f>ROUND(INDEX($C$2:$C$5,MATCH($E97,$B$2:$B$5,0))*$G97/SUMIFS($G:$G,$E:$E,$E97,$B:$B,$B97,AE:AE,1)*IF(B97=$B$10,0.9,1),0)</f>
        <v>4500</v>
      </c>
      <c r="AG97" s="24">
        <f t="shared" si="393"/>
        <v>1</v>
      </c>
      <c r="AH97" s="24">
        <f>ROUND(INDEX($C$2:$C$5,MATCH($E97,$B$2:$B$5,0))*$H97/SUMIFS($H:$H,$E:$E,$E97,$B:$B,$B97,AG:AG,1)*IF(B97=$B$10,0.9,1),0)</f>
        <v>4500</v>
      </c>
      <c r="AI97" s="24">
        <f t="shared" ref="AI97:AM97" si="394">IF($L97&lt;=AI$8,1,0)</f>
        <v>1</v>
      </c>
      <c r="AJ97" s="24">
        <f>ROUND(INDEX($C$2:$C$5,MATCH($E97,$B$2:$B$5,0))*$F97/SUMIFS($F:$F,$E:$E,$E97,$B:$B,$B97,AI:AI,1)*IF(B97=$B$10,0.9,1),0)</f>
        <v>4500</v>
      </c>
      <c r="AK97" s="24">
        <f t="shared" si="394"/>
        <v>1</v>
      </c>
      <c r="AL97" s="24">
        <f>ROUND(INDEX($C$2:$C$5,MATCH($E97,$B$2:$B$5,0))*$G97/SUMIFS($G:$G,$E:$E,$E97,$B:$B,$B97,AK:AK,1)*IF(B97=$B$10,0.9,1),0)</f>
        <v>4500</v>
      </c>
      <c r="AM97" s="24">
        <f t="shared" si="394"/>
        <v>1</v>
      </c>
      <c r="AN97" s="24">
        <f>ROUND(INDEX($C$2:$C$5,MATCH($E97,$B$2:$B$5,0))*$H97/SUMIFS($H:$H,$E:$E,$E97,$B:$B,$B97,AM:AM,1)*IF(B97=$B$10,0.9,1),0)</f>
        <v>4500</v>
      </c>
      <c r="AX97" s="4" t="str">
        <f t="shared" si="288"/>
        <v>1,4500</v>
      </c>
      <c r="AY97" s="4" t="str">
        <f t="shared" si="289"/>
        <v>1,4500</v>
      </c>
      <c r="AZ97" s="4" t="str">
        <f t="shared" si="290"/>
        <v>1,4500</v>
      </c>
      <c r="BA97" s="4" t="str">
        <f t="shared" si="291"/>
        <v>1,4500</v>
      </c>
      <c r="BB97" s="4" t="str">
        <f t="shared" si="292"/>
        <v>1,4500</v>
      </c>
      <c r="BC97" s="4" t="str">
        <f t="shared" si="293"/>
        <v>1,4500</v>
      </c>
      <c r="BD97" s="4" t="str">
        <f t="shared" si="294"/>
        <v>1,4500</v>
      </c>
      <c r="BE97" s="4" t="str">
        <f t="shared" si="295"/>
        <v>1,4500</v>
      </c>
      <c r="BF97" s="4" t="str">
        <f t="shared" si="296"/>
        <v>1,4500</v>
      </c>
      <c r="BG97" s="4" t="str">
        <f t="shared" si="297"/>
        <v>1,4500</v>
      </c>
      <c r="BH97" s="4" t="str">
        <f t="shared" si="298"/>
        <v>1,4500</v>
      </c>
      <c r="BI97" s="4" t="str">
        <f t="shared" si="299"/>
        <v>1,4500</v>
      </c>
      <c r="BJ97" s="4" t="str">
        <f t="shared" si="300"/>
        <v>1,4500</v>
      </c>
    </row>
    <row r="98" customHeight="1" spans="1:62">
      <c r="A98" s="35">
        <v>611</v>
      </c>
      <c r="B98" s="60" t="s">
        <v>63</v>
      </c>
      <c r="C98" s="40" t="s">
        <v>218</v>
      </c>
      <c r="D98" s="44" t="s">
        <v>362</v>
      </c>
      <c r="E98" s="45">
        <v>2</v>
      </c>
      <c r="F98" s="35">
        <v>1</v>
      </c>
      <c r="G98" s="35">
        <f t="shared" si="301"/>
        <v>1</v>
      </c>
      <c r="H98" s="35">
        <v>1</v>
      </c>
      <c r="I98" s="35">
        <v>1</v>
      </c>
      <c r="J98" s="35">
        <v>1</v>
      </c>
      <c r="K98" s="35">
        <v>1</v>
      </c>
      <c r="L98" s="35">
        <v>1</v>
      </c>
      <c r="M98" s="35"/>
      <c r="N98">
        <f t="shared" si="302"/>
        <v>4500</v>
      </c>
      <c r="O98" s="35">
        <v>1</v>
      </c>
      <c r="P98" s="24">
        <f>ROUND(INDEX($C$2:$C$5,MATCH($E98,$B$2:$B$5,0))*$F98/SUMIFS($F:$F,$E:$E,$E98,$B:$B,$B98,O:O,1)*IF(B98=$B$10,0.9,1),0)</f>
        <v>750</v>
      </c>
      <c r="Q98" s="24">
        <f t="shared" ref="Q98:U98" si="395">IF($L98&lt;=Q$8,1,0)</f>
        <v>1</v>
      </c>
      <c r="R98" s="24">
        <f>ROUND(INDEX($C$2:$C$5,MATCH($E98,$B$2:$B$5,0))*$I98/SUMIFS($I:$I,$E:$E,$E98,$B:$B,$B98,Q:Q,1)*IF(B98=$B$10,0.9,1),0)</f>
        <v>900</v>
      </c>
      <c r="S98" s="24">
        <f t="shared" si="395"/>
        <v>1</v>
      </c>
      <c r="T98" s="24">
        <f>ROUND(INDEX($C$2:$C$5,MATCH($E98,$B$2:$B$5,0))*$J98/SUMIFS($J:$J,$E:$E,$E98,$B:$B,$B98,S:S,1)*IF(B98=$B$10,0.9,1),0)</f>
        <v>900</v>
      </c>
      <c r="U98" s="24">
        <f t="shared" si="395"/>
        <v>1</v>
      </c>
      <c r="V98" s="24">
        <f>ROUND(INDEX($C$2:$C$5,MATCH($E98,$B$2:$B$5,0))*$K98/SUMIFS($K:$K,$E:$E,$E98,$B:$B,$B98,U:U,1)*IF(B98=$B$10,0.9,1),0)</f>
        <v>900</v>
      </c>
      <c r="W98" s="24">
        <f t="shared" ref="W98:AA98" si="396">IF($L98&lt;=W$8,1,0)</f>
        <v>1</v>
      </c>
      <c r="X98" s="24">
        <f>ROUND(INDEX($C$2:$C$5,MATCH($E98,$B$2:$B$5,0))*$F98/SUMIFS($F:$F,$E:$E,$E98,$B:$B,$B98,W:W,1)*IF(B98=$B$10,0.9,1),0)</f>
        <v>750</v>
      </c>
      <c r="Y98" s="24">
        <f t="shared" si="396"/>
        <v>1</v>
      </c>
      <c r="Z98" s="24">
        <f>ROUND(INDEX($C$2:$C$5,MATCH($E98,$B$2:$B$5,0))*$G98/SUMIFS($G:$G,$E:$E,$E98,$B:$B,$B98,Y:Y,1)*IF(B98=$B$10,0.9,1),0)</f>
        <v>750</v>
      </c>
      <c r="AA98" s="24">
        <f t="shared" si="396"/>
        <v>1</v>
      </c>
      <c r="AB98" s="24">
        <f>ROUND(INDEX($C$2:$C$5,MATCH($E98,$B$2:$B$5,0))*$H98/SUMIFS($H:$H,$E:$E,$E98,$B:$B,$B98,AA:AA,1)*IF(B98=$B$10,0.9,1),0)</f>
        <v>750</v>
      </c>
      <c r="AC98" s="24">
        <f t="shared" ref="AC98:AG98" si="397">IF($L98&lt;=AC$8,1,0)</f>
        <v>1</v>
      </c>
      <c r="AD98" s="24">
        <f>ROUND(INDEX($C$2:$C$5,MATCH($E98,$B$2:$B$5,0))*$F98/SUMIFS($F:$F,$E:$E,$E98,$B:$B,$B98,AC:AC,1)*IF(B98=$B$10,0.9,1),0)</f>
        <v>750</v>
      </c>
      <c r="AE98" s="24">
        <f t="shared" si="397"/>
        <v>1</v>
      </c>
      <c r="AF98" s="24">
        <f>ROUND(INDEX($C$2:$C$5,MATCH($E98,$B$2:$B$5,0))*$G98/SUMIFS($G:$G,$E:$E,$E98,$B:$B,$B98,AE:AE,1)*IF(B98=$B$10,0.9,1),0)</f>
        <v>750</v>
      </c>
      <c r="AG98" s="24">
        <f t="shared" si="397"/>
        <v>1</v>
      </c>
      <c r="AH98" s="24">
        <f>ROUND(INDEX($C$2:$C$5,MATCH($E98,$B$2:$B$5,0))*$H98/SUMIFS($H:$H,$E:$E,$E98,$B:$B,$B98,AG:AG,1)*IF(B98=$B$10,0.9,1),0)</f>
        <v>750</v>
      </c>
      <c r="AI98" s="24">
        <f t="shared" ref="AI98:AM98" si="398">IF($L98&lt;=AI$8,1,0)</f>
        <v>1</v>
      </c>
      <c r="AJ98" s="24">
        <f>ROUND(INDEX($C$2:$C$5,MATCH($E98,$B$2:$B$5,0))*$F98/SUMIFS($F:$F,$E:$E,$E98,$B:$B,$B98,AI:AI,1)*IF(B98=$B$10,0.9,1),0)</f>
        <v>750</v>
      </c>
      <c r="AK98" s="24">
        <f t="shared" si="398"/>
        <v>1</v>
      </c>
      <c r="AL98" s="24">
        <f>ROUND(INDEX($C$2:$C$5,MATCH($E98,$B$2:$B$5,0))*$G98/SUMIFS($G:$G,$E:$E,$E98,$B:$B,$B98,AK:AK,1)*IF(B98=$B$10,0.9,1),0)</f>
        <v>750</v>
      </c>
      <c r="AM98" s="24">
        <f t="shared" si="398"/>
        <v>1</v>
      </c>
      <c r="AN98" s="24">
        <f>ROUND(INDEX($C$2:$C$5,MATCH($E98,$B$2:$B$5,0))*$H98/SUMIFS($H:$H,$E:$E,$E98,$B:$B,$B98,AM:AM,1)*IF(B98=$B$10,0.9,1),0)</f>
        <v>750</v>
      </c>
      <c r="AX98" s="4" t="str">
        <f t="shared" si="288"/>
        <v>1,750</v>
      </c>
      <c r="AY98" s="4" t="str">
        <f t="shared" si="289"/>
        <v>1,900</v>
      </c>
      <c r="AZ98" s="4" t="str">
        <f t="shared" si="290"/>
        <v>1,900</v>
      </c>
      <c r="BA98" s="4" t="str">
        <f t="shared" si="291"/>
        <v>1,900</v>
      </c>
      <c r="BB98" s="4" t="str">
        <f t="shared" si="292"/>
        <v>1,750</v>
      </c>
      <c r="BC98" s="4" t="str">
        <f t="shared" si="293"/>
        <v>1,750</v>
      </c>
      <c r="BD98" s="4" t="str">
        <f t="shared" si="294"/>
        <v>1,750</v>
      </c>
      <c r="BE98" s="4" t="str">
        <f t="shared" si="295"/>
        <v>1,750</v>
      </c>
      <c r="BF98" s="4" t="str">
        <f t="shared" si="296"/>
        <v>1,750</v>
      </c>
      <c r="BG98" s="4" t="str">
        <f t="shared" si="297"/>
        <v>1,750</v>
      </c>
      <c r="BH98" s="4" t="str">
        <f t="shared" si="298"/>
        <v>1,750</v>
      </c>
      <c r="BI98" s="4" t="str">
        <f t="shared" si="299"/>
        <v>1,750</v>
      </c>
      <c r="BJ98" s="4" t="str">
        <f t="shared" si="300"/>
        <v>1,750</v>
      </c>
    </row>
    <row r="99" customHeight="1" spans="1:62">
      <c r="A99" s="35">
        <v>612</v>
      </c>
      <c r="B99" s="60" t="s">
        <v>63</v>
      </c>
      <c r="C99" s="40" t="s">
        <v>218</v>
      </c>
      <c r="D99" s="44" t="s">
        <v>363</v>
      </c>
      <c r="E99" s="50">
        <v>2</v>
      </c>
      <c r="F99" s="35">
        <v>1</v>
      </c>
      <c r="G99" s="35">
        <f t="shared" si="301"/>
        <v>1</v>
      </c>
      <c r="H99" s="35">
        <v>1</v>
      </c>
      <c r="I99" s="35">
        <v>1</v>
      </c>
      <c r="J99" s="35">
        <v>1</v>
      </c>
      <c r="K99" s="35">
        <v>1</v>
      </c>
      <c r="L99" s="35">
        <v>1</v>
      </c>
      <c r="M99" s="35"/>
      <c r="N99">
        <f t="shared" si="302"/>
        <v>4500</v>
      </c>
      <c r="O99" s="35">
        <v>1</v>
      </c>
      <c r="P99" s="24">
        <f>ROUND(INDEX($C$2:$C$5,MATCH($E99,$B$2:$B$5,0))*$F99/SUMIFS($F:$F,$E:$E,$E99,$B:$B,$B99,O:O,1)*IF(B99=$B$10,0.9,1),0)</f>
        <v>750</v>
      </c>
      <c r="Q99" s="24">
        <f t="shared" ref="Q99:U99" si="399">IF($L99&lt;=Q$8,1,0)</f>
        <v>1</v>
      </c>
      <c r="R99" s="24">
        <f>ROUND(INDEX($C$2:$C$5,MATCH($E99,$B$2:$B$5,0))*$I99/SUMIFS($I:$I,$E:$E,$E99,$B:$B,$B99,Q:Q,1)*IF(B99=$B$10,0.9,1),0)</f>
        <v>900</v>
      </c>
      <c r="S99" s="24">
        <f t="shared" si="399"/>
        <v>1</v>
      </c>
      <c r="T99" s="24">
        <f>ROUND(INDEX($C$2:$C$5,MATCH($E99,$B$2:$B$5,0))*$J99/SUMIFS($J:$J,$E:$E,$E99,$B:$B,$B99,S:S,1)*IF(B99=$B$10,0.9,1),0)</f>
        <v>900</v>
      </c>
      <c r="U99" s="24">
        <f t="shared" si="399"/>
        <v>1</v>
      </c>
      <c r="V99" s="24">
        <f>ROUND(INDEX($C$2:$C$5,MATCH($E99,$B$2:$B$5,0))*$K99/SUMIFS($K:$K,$E:$E,$E99,$B:$B,$B99,U:U,1)*IF(B99=$B$10,0.9,1),0)</f>
        <v>900</v>
      </c>
      <c r="W99" s="24">
        <f t="shared" ref="W99:AA99" si="400">IF($L99&lt;=W$8,1,0)</f>
        <v>1</v>
      </c>
      <c r="X99" s="24">
        <f>ROUND(INDEX($C$2:$C$5,MATCH($E99,$B$2:$B$5,0))*$F99/SUMIFS($F:$F,$E:$E,$E99,$B:$B,$B99,W:W,1)*IF(B99=$B$10,0.9,1),0)</f>
        <v>750</v>
      </c>
      <c r="Y99" s="24">
        <f t="shared" si="400"/>
        <v>1</v>
      </c>
      <c r="Z99" s="24">
        <f>ROUND(INDEX($C$2:$C$5,MATCH($E99,$B$2:$B$5,0))*$G99/SUMIFS($G:$G,$E:$E,$E99,$B:$B,$B99,Y:Y,1)*IF(B99=$B$10,0.9,1),0)</f>
        <v>750</v>
      </c>
      <c r="AA99" s="24">
        <f t="shared" si="400"/>
        <v>1</v>
      </c>
      <c r="AB99" s="24">
        <f>ROUND(INDEX($C$2:$C$5,MATCH($E99,$B$2:$B$5,0))*$H99/SUMIFS($H:$H,$E:$E,$E99,$B:$B,$B99,AA:AA,1)*IF(B99=$B$10,0.9,1),0)</f>
        <v>750</v>
      </c>
      <c r="AC99" s="24">
        <f t="shared" ref="AC99:AG99" si="401">IF($L99&lt;=AC$8,1,0)</f>
        <v>1</v>
      </c>
      <c r="AD99" s="24">
        <f>ROUND(INDEX($C$2:$C$5,MATCH($E99,$B$2:$B$5,0))*$F99/SUMIFS($F:$F,$E:$E,$E99,$B:$B,$B99,AC:AC,1)*IF(B99=$B$10,0.9,1),0)</f>
        <v>750</v>
      </c>
      <c r="AE99" s="24">
        <f t="shared" si="401"/>
        <v>1</v>
      </c>
      <c r="AF99" s="24">
        <f>ROUND(INDEX($C$2:$C$5,MATCH($E99,$B$2:$B$5,0))*$G99/SUMIFS($G:$G,$E:$E,$E99,$B:$B,$B99,AE:AE,1)*IF(B99=$B$10,0.9,1),0)</f>
        <v>750</v>
      </c>
      <c r="AG99" s="24">
        <f t="shared" si="401"/>
        <v>1</v>
      </c>
      <c r="AH99" s="24">
        <f>ROUND(INDEX($C$2:$C$5,MATCH($E99,$B$2:$B$5,0))*$H99/SUMIFS($H:$H,$E:$E,$E99,$B:$B,$B99,AG:AG,1)*IF(B99=$B$10,0.9,1),0)</f>
        <v>750</v>
      </c>
      <c r="AI99" s="24">
        <f t="shared" ref="AI99:AM99" si="402">IF($L99&lt;=AI$8,1,0)</f>
        <v>1</v>
      </c>
      <c r="AJ99" s="24">
        <f>ROUND(INDEX($C$2:$C$5,MATCH($E99,$B$2:$B$5,0))*$F99/SUMIFS($F:$F,$E:$E,$E99,$B:$B,$B99,AI:AI,1)*IF(B99=$B$10,0.9,1),0)</f>
        <v>750</v>
      </c>
      <c r="AK99" s="24">
        <f t="shared" si="402"/>
        <v>1</v>
      </c>
      <c r="AL99" s="24">
        <f>ROUND(INDEX($C$2:$C$5,MATCH($E99,$B$2:$B$5,0))*$G99/SUMIFS($G:$G,$E:$E,$E99,$B:$B,$B99,AK:AK,1)*IF(B99=$B$10,0.9,1),0)</f>
        <v>750</v>
      </c>
      <c r="AM99" s="24">
        <f t="shared" si="402"/>
        <v>1</v>
      </c>
      <c r="AN99" s="24">
        <f>ROUND(INDEX($C$2:$C$5,MATCH($E99,$B$2:$B$5,0))*$H99/SUMIFS($H:$H,$E:$E,$E99,$B:$B,$B99,AM:AM,1)*IF(B99=$B$10,0.9,1),0)</f>
        <v>750</v>
      </c>
      <c r="AX99" s="4" t="str">
        <f t="shared" si="288"/>
        <v>1,750</v>
      </c>
      <c r="AY99" s="4" t="str">
        <f t="shared" si="289"/>
        <v>1,900</v>
      </c>
      <c r="AZ99" s="4" t="str">
        <f t="shared" si="290"/>
        <v>1,900</v>
      </c>
      <c r="BA99" s="4" t="str">
        <f t="shared" si="291"/>
        <v>1,900</v>
      </c>
      <c r="BB99" s="4" t="str">
        <f t="shared" si="292"/>
        <v>1,750</v>
      </c>
      <c r="BC99" s="4" t="str">
        <f t="shared" si="293"/>
        <v>1,750</v>
      </c>
      <c r="BD99" s="4" t="str">
        <f t="shared" si="294"/>
        <v>1,750</v>
      </c>
      <c r="BE99" s="4" t="str">
        <f t="shared" si="295"/>
        <v>1,750</v>
      </c>
      <c r="BF99" s="4" t="str">
        <f t="shared" si="296"/>
        <v>1,750</v>
      </c>
      <c r="BG99" s="4" t="str">
        <f t="shared" si="297"/>
        <v>1,750</v>
      </c>
      <c r="BH99" s="4" t="str">
        <f t="shared" si="298"/>
        <v>1,750</v>
      </c>
      <c r="BI99" s="4" t="str">
        <f t="shared" si="299"/>
        <v>1,750</v>
      </c>
      <c r="BJ99" s="4" t="str">
        <f t="shared" si="300"/>
        <v>1,750</v>
      </c>
    </row>
    <row r="100" customHeight="1" spans="1:62">
      <c r="A100" s="35">
        <v>613</v>
      </c>
      <c r="B100" s="60" t="s">
        <v>63</v>
      </c>
      <c r="C100" s="40" t="s">
        <v>218</v>
      </c>
      <c r="D100" s="44" t="s">
        <v>364</v>
      </c>
      <c r="E100" s="50">
        <v>2</v>
      </c>
      <c r="F100" s="35">
        <v>1</v>
      </c>
      <c r="G100" s="35">
        <f t="shared" si="301"/>
        <v>1</v>
      </c>
      <c r="H100" s="35">
        <v>1</v>
      </c>
      <c r="I100" s="35">
        <v>1</v>
      </c>
      <c r="J100" s="35">
        <v>1</v>
      </c>
      <c r="K100" s="35">
        <v>1</v>
      </c>
      <c r="L100" s="35">
        <v>1</v>
      </c>
      <c r="M100" s="35"/>
      <c r="N100">
        <f t="shared" si="302"/>
        <v>4500</v>
      </c>
      <c r="O100" s="35">
        <v>1</v>
      </c>
      <c r="P100" s="24">
        <f>ROUND(INDEX($C$2:$C$5,MATCH($E100,$B$2:$B$5,0))*$F100/SUMIFS($F:$F,$E:$E,$E100,$B:$B,$B100,O:O,1)*IF(B100=$B$10,0.9,1),0)</f>
        <v>750</v>
      </c>
      <c r="Q100" s="24">
        <f t="shared" ref="Q100:U100" si="403">IF($L100&lt;=Q$8,1,0)</f>
        <v>1</v>
      </c>
      <c r="R100" s="24">
        <f>ROUND(INDEX($C$2:$C$5,MATCH($E100,$B$2:$B$5,0))*$I100/SUMIFS($I:$I,$E:$E,$E100,$B:$B,$B100,Q:Q,1)*IF(B100=$B$10,0.9,1),0)</f>
        <v>900</v>
      </c>
      <c r="S100" s="24">
        <f t="shared" si="403"/>
        <v>1</v>
      </c>
      <c r="T100" s="24">
        <f>ROUND(INDEX($C$2:$C$5,MATCH($E100,$B$2:$B$5,0))*$J100/SUMIFS($J:$J,$E:$E,$E100,$B:$B,$B100,S:S,1)*IF(B100=$B$10,0.9,1),0)</f>
        <v>900</v>
      </c>
      <c r="U100" s="24">
        <f t="shared" si="403"/>
        <v>1</v>
      </c>
      <c r="V100" s="24">
        <f>ROUND(INDEX($C$2:$C$5,MATCH($E100,$B$2:$B$5,0))*$K100/SUMIFS($K:$K,$E:$E,$E100,$B:$B,$B100,U:U,1)*IF(B100=$B$10,0.9,1),0)</f>
        <v>900</v>
      </c>
      <c r="W100" s="24">
        <f t="shared" ref="W100:AA100" si="404">IF($L100&lt;=W$8,1,0)</f>
        <v>1</v>
      </c>
      <c r="X100" s="24">
        <f>ROUND(INDEX($C$2:$C$5,MATCH($E100,$B$2:$B$5,0))*$F100/SUMIFS($F:$F,$E:$E,$E100,$B:$B,$B100,W:W,1)*IF(B100=$B$10,0.9,1),0)</f>
        <v>750</v>
      </c>
      <c r="Y100" s="24">
        <f t="shared" si="404"/>
        <v>1</v>
      </c>
      <c r="Z100" s="24">
        <f>ROUND(INDEX($C$2:$C$5,MATCH($E100,$B$2:$B$5,0))*$G100/SUMIFS($G:$G,$E:$E,$E100,$B:$B,$B100,Y:Y,1)*IF(B100=$B$10,0.9,1),0)</f>
        <v>750</v>
      </c>
      <c r="AA100" s="24">
        <f t="shared" si="404"/>
        <v>1</v>
      </c>
      <c r="AB100" s="24">
        <f>ROUND(INDEX($C$2:$C$5,MATCH($E100,$B$2:$B$5,0))*$H100/SUMIFS($H:$H,$E:$E,$E100,$B:$B,$B100,AA:AA,1)*IF(B100=$B$10,0.9,1),0)</f>
        <v>750</v>
      </c>
      <c r="AC100" s="24">
        <f t="shared" ref="AC100:AG100" si="405">IF($L100&lt;=AC$8,1,0)</f>
        <v>1</v>
      </c>
      <c r="AD100" s="24">
        <f>ROUND(INDEX($C$2:$C$5,MATCH($E100,$B$2:$B$5,0))*$F100/SUMIFS($F:$F,$E:$E,$E100,$B:$B,$B100,AC:AC,1)*IF(B100=$B$10,0.9,1),0)</f>
        <v>750</v>
      </c>
      <c r="AE100" s="24">
        <f t="shared" si="405"/>
        <v>1</v>
      </c>
      <c r="AF100" s="24">
        <f>ROUND(INDEX($C$2:$C$5,MATCH($E100,$B$2:$B$5,0))*$G100/SUMIFS($G:$G,$E:$E,$E100,$B:$B,$B100,AE:AE,1)*IF(B100=$B$10,0.9,1),0)</f>
        <v>750</v>
      </c>
      <c r="AG100" s="24">
        <f t="shared" si="405"/>
        <v>1</v>
      </c>
      <c r="AH100" s="24">
        <f>ROUND(INDEX($C$2:$C$5,MATCH($E100,$B$2:$B$5,0))*$H100/SUMIFS($H:$H,$E:$E,$E100,$B:$B,$B100,AG:AG,1)*IF(B100=$B$10,0.9,1),0)</f>
        <v>750</v>
      </c>
      <c r="AI100" s="24">
        <f t="shared" ref="AI100:AM100" si="406">IF($L100&lt;=AI$8,1,0)</f>
        <v>1</v>
      </c>
      <c r="AJ100" s="24">
        <f>ROUND(INDEX($C$2:$C$5,MATCH($E100,$B$2:$B$5,0))*$F100/SUMIFS($F:$F,$E:$E,$E100,$B:$B,$B100,AI:AI,1)*IF(B100=$B$10,0.9,1),0)</f>
        <v>750</v>
      </c>
      <c r="AK100" s="24">
        <f t="shared" si="406"/>
        <v>1</v>
      </c>
      <c r="AL100" s="24">
        <f>ROUND(INDEX($C$2:$C$5,MATCH($E100,$B$2:$B$5,0))*$G100/SUMIFS($G:$G,$E:$E,$E100,$B:$B,$B100,AK:AK,1)*IF(B100=$B$10,0.9,1),0)</f>
        <v>750</v>
      </c>
      <c r="AM100" s="24">
        <f t="shared" si="406"/>
        <v>1</v>
      </c>
      <c r="AN100" s="24">
        <f>ROUND(INDEX($C$2:$C$5,MATCH($E100,$B$2:$B$5,0))*$H100/SUMIFS($H:$H,$E:$E,$E100,$B:$B,$B100,AM:AM,1)*IF(B100=$B$10,0.9,1),0)</f>
        <v>750</v>
      </c>
      <c r="AX100" s="4" t="str">
        <f t="shared" si="288"/>
        <v>1,750</v>
      </c>
      <c r="AY100" s="4" t="str">
        <f t="shared" si="289"/>
        <v>1,900</v>
      </c>
      <c r="AZ100" s="4" t="str">
        <f t="shared" si="290"/>
        <v>1,900</v>
      </c>
      <c r="BA100" s="4" t="str">
        <f t="shared" si="291"/>
        <v>1,900</v>
      </c>
      <c r="BB100" s="4" t="str">
        <f t="shared" si="292"/>
        <v>1,750</v>
      </c>
      <c r="BC100" s="4" t="str">
        <f t="shared" si="293"/>
        <v>1,750</v>
      </c>
      <c r="BD100" s="4" t="str">
        <f t="shared" si="294"/>
        <v>1,750</v>
      </c>
      <c r="BE100" s="4" t="str">
        <f t="shared" si="295"/>
        <v>1,750</v>
      </c>
      <c r="BF100" s="4" t="str">
        <f t="shared" si="296"/>
        <v>1,750</v>
      </c>
      <c r="BG100" s="4" t="str">
        <f t="shared" si="297"/>
        <v>1,750</v>
      </c>
      <c r="BH100" s="4" t="str">
        <f t="shared" si="298"/>
        <v>1,750</v>
      </c>
      <c r="BI100" s="4" t="str">
        <f t="shared" si="299"/>
        <v>1,750</v>
      </c>
      <c r="BJ100" s="4" t="str">
        <f t="shared" si="300"/>
        <v>1,750</v>
      </c>
    </row>
    <row r="101" customHeight="1" spans="1:62">
      <c r="A101" s="35">
        <v>614</v>
      </c>
      <c r="B101" s="40" t="s">
        <v>63</v>
      </c>
      <c r="C101" s="40"/>
      <c r="D101" s="44" t="s">
        <v>365</v>
      </c>
      <c r="E101" s="35">
        <v>2</v>
      </c>
      <c r="F101" s="35">
        <v>1</v>
      </c>
      <c r="G101" s="35">
        <f t="shared" si="301"/>
        <v>1</v>
      </c>
      <c r="H101" s="35">
        <v>1</v>
      </c>
      <c r="I101" s="35">
        <v>1</v>
      </c>
      <c r="J101" s="35">
        <v>1</v>
      </c>
      <c r="K101" s="35">
        <v>1</v>
      </c>
      <c r="L101" s="35">
        <v>1</v>
      </c>
      <c r="M101" s="35"/>
      <c r="N101">
        <f t="shared" si="302"/>
        <v>4500</v>
      </c>
      <c r="O101" s="35">
        <v>1</v>
      </c>
      <c r="P101" s="24">
        <f>ROUND(INDEX($C$2:$C$5,MATCH($E101,$B$2:$B$5,0))*$F101/SUMIFS($F:$F,$E:$E,$E101,$B:$B,$B101,O:O,1)*IF(B101=$B$10,0.9,1),0)</f>
        <v>750</v>
      </c>
      <c r="Q101" s="24">
        <f t="shared" ref="Q101:U101" si="407">IF($L101&lt;=Q$8,1,0)</f>
        <v>1</v>
      </c>
      <c r="R101" s="24">
        <f>ROUND(INDEX($C$2:$C$5,MATCH($E101,$B$2:$B$5,0))*$I101/SUMIFS($I:$I,$E:$E,$E101,$B:$B,$B101,Q:Q,1)*IF(B101=$B$10,0.9,1),0)</f>
        <v>900</v>
      </c>
      <c r="S101" s="24">
        <f t="shared" si="407"/>
        <v>1</v>
      </c>
      <c r="T101" s="24">
        <f>ROUND(INDEX($C$2:$C$5,MATCH($E101,$B$2:$B$5,0))*$J101/SUMIFS($J:$J,$E:$E,$E101,$B:$B,$B101,S:S,1)*IF(B101=$B$10,0.9,1),0)</f>
        <v>900</v>
      </c>
      <c r="U101" s="24">
        <f t="shared" si="407"/>
        <v>1</v>
      </c>
      <c r="V101" s="24">
        <f>ROUND(INDEX($C$2:$C$5,MATCH($E101,$B$2:$B$5,0))*$K101/SUMIFS($K:$K,$E:$E,$E101,$B:$B,$B101,U:U,1)*IF(B101=$B$10,0.9,1),0)</f>
        <v>900</v>
      </c>
      <c r="W101" s="24">
        <f t="shared" ref="W101:AA101" si="408">IF($L101&lt;=W$8,1,0)</f>
        <v>1</v>
      </c>
      <c r="X101" s="24">
        <f>ROUND(INDEX($C$2:$C$5,MATCH($E101,$B$2:$B$5,0))*$F101/SUMIFS($F:$F,$E:$E,$E101,$B:$B,$B101,W:W,1)*IF(B101=$B$10,0.9,1),0)</f>
        <v>750</v>
      </c>
      <c r="Y101" s="24">
        <f t="shared" si="408"/>
        <v>1</v>
      </c>
      <c r="Z101" s="24">
        <f>ROUND(INDEX($C$2:$C$5,MATCH($E101,$B$2:$B$5,0))*$G101/SUMIFS($G:$G,$E:$E,$E101,$B:$B,$B101,Y:Y,1)*IF(B101=$B$10,0.9,1),0)</f>
        <v>750</v>
      </c>
      <c r="AA101" s="24">
        <f t="shared" si="408"/>
        <v>1</v>
      </c>
      <c r="AB101" s="24">
        <f>ROUND(INDEX($C$2:$C$5,MATCH($E101,$B$2:$B$5,0))*$H101/SUMIFS($H:$H,$E:$E,$E101,$B:$B,$B101,AA:AA,1)*IF(B101=$B$10,0.9,1),0)</f>
        <v>750</v>
      </c>
      <c r="AC101" s="24">
        <f t="shared" ref="AC101:AG101" si="409">IF($L101&lt;=AC$8,1,0)</f>
        <v>1</v>
      </c>
      <c r="AD101" s="24">
        <f>ROUND(INDEX($C$2:$C$5,MATCH($E101,$B$2:$B$5,0))*$F101/SUMIFS($F:$F,$E:$E,$E101,$B:$B,$B101,AC:AC,1)*IF(B101=$B$10,0.9,1),0)</f>
        <v>750</v>
      </c>
      <c r="AE101" s="24">
        <f t="shared" si="409"/>
        <v>1</v>
      </c>
      <c r="AF101" s="24">
        <f>ROUND(INDEX($C$2:$C$5,MATCH($E101,$B$2:$B$5,0))*$G101/SUMIFS($G:$G,$E:$E,$E101,$B:$B,$B101,AE:AE,1)*IF(B101=$B$10,0.9,1),0)</f>
        <v>750</v>
      </c>
      <c r="AG101" s="24">
        <f t="shared" si="409"/>
        <v>1</v>
      </c>
      <c r="AH101" s="24">
        <f>ROUND(INDEX($C$2:$C$5,MATCH($E101,$B$2:$B$5,0))*$H101/SUMIFS($H:$H,$E:$E,$E101,$B:$B,$B101,AG:AG,1)*IF(B101=$B$10,0.9,1),0)</f>
        <v>750</v>
      </c>
      <c r="AI101" s="24">
        <f t="shared" ref="AI101:AM101" si="410">IF($L101&lt;=AI$8,1,0)</f>
        <v>1</v>
      </c>
      <c r="AJ101" s="24">
        <f>ROUND(INDEX($C$2:$C$5,MATCH($E101,$B$2:$B$5,0))*$F101/SUMIFS($F:$F,$E:$E,$E101,$B:$B,$B101,AI:AI,1)*IF(B101=$B$10,0.9,1),0)</f>
        <v>750</v>
      </c>
      <c r="AK101" s="24">
        <f t="shared" si="410"/>
        <v>1</v>
      </c>
      <c r="AL101" s="24">
        <f>ROUND(INDEX($C$2:$C$5,MATCH($E101,$B$2:$B$5,0))*$G101/SUMIFS($G:$G,$E:$E,$E101,$B:$B,$B101,AK:AK,1)*IF(B101=$B$10,0.9,1),0)</f>
        <v>750</v>
      </c>
      <c r="AM101" s="24">
        <f t="shared" si="410"/>
        <v>1</v>
      </c>
      <c r="AN101" s="24">
        <f>ROUND(INDEX($C$2:$C$5,MATCH($E101,$B$2:$B$5,0))*$H101/SUMIFS($H:$H,$E:$E,$E101,$B:$B,$B101,AM:AM,1)*IF(B101=$B$10,0.9,1),0)</f>
        <v>750</v>
      </c>
      <c r="AX101" s="4" t="str">
        <f t="shared" si="288"/>
        <v>1,750</v>
      </c>
      <c r="AY101" s="4" t="str">
        <f t="shared" si="289"/>
        <v>1,900</v>
      </c>
      <c r="AZ101" s="4" t="str">
        <f t="shared" si="290"/>
        <v>1,900</v>
      </c>
      <c r="BA101" s="4" t="str">
        <f t="shared" si="291"/>
        <v>1,900</v>
      </c>
      <c r="BB101" s="4" t="str">
        <f t="shared" si="292"/>
        <v>1,750</v>
      </c>
      <c r="BC101" s="4" t="str">
        <f t="shared" si="293"/>
        <v>1,750</v>
      </c>
      <c r="BD101" s="4" t="str">
        <f t="shared" si="294"/>
        <v>1,750</v>
      </c>
      <c r="BE101" s="4" t="str">
        <f t="shared" si="295"/>
        <v>1,750</v>
      </c>
      <c r="BF101" s="4" t="str">
        <f t="shared" si="296"/>
        <v>1,750</v>
      </c>
      <c r="BG101" s="4" t="str">
        <f t="shared" si="297"/>
        <v>1,750</v>
      </c>
      <c r="BH101" s="4" t="str">
        <f t="shared" si="298"/>
        <v>1,750</v>
      </c>
      <c r="BI101" s="4" t="str">
        <f t="shared" si="299"/>
        <v>1,750</v>
      </c>
      <c r="BJ101" s="4" t="str">
        <f t="shared" si="300"/>
        <v>1,750</v>
      </c>
    </row>
    <row r="102" customHeight="1" spans="1:62">
      <c r="A102" s="35">
        <v>621</v>
      </c>
      <c r="B102" s="40" t="s">
        <v>63</v>
      </c>
      <c r="C102" s="40"/>
      <c r="D102" s="46" t="s">
        <v>366</v>
      </c>
      <c r="E102" s="43">
        <v>3</v>
      </c>
      <c r="F102" s="35">
        <v>1</v>
      </c>
      <c r="G102" s="35">
        <f t="shared" si="301"/>
        <v>1</v>
      </c>
      <c r="H102" s="35">
        <v>1</v>
      </c>
      <c r="I102" s="35">
        <v>1</v>
      </c>
      <c r="J102" s="35">
        <v>1</v>
      </c>
      <c r="K102" s="35">
        <v>1</v>
      </c>
      <c r="L102" s="35">
        <v>1</v>
      </c>
      <c r="M102" s="35" t="s">
        <v>136</v>
      </c>
      <c r="N102">
        <f t="shared" si="302"/>
        <v>1500</v>
      </c>
      <c r="O102" s="35">
        <v>1</v>
      </c>
      <c r="P102" s="24">
        <f>ROUND(INDEX($C$2:$C$5,MATCH($E102,$B$2:$B$5,0))*$F102/SUMIFS($F:$F,$E:$E,$E102,$B:$B,$B102,O:O,1)*IF(B102=$B$10,0.9,1),0)</f>
        <v>250</v>
      </c>
      <c r="Q102" s="24">
        <f t="shared" ref="Q102:U102" si="411">IF($L102&lt;=Q$8,1,0)</f>
        <v>1</v>
      </c>
      <c r="R102" s="24">
        <f>ROUND(INDEX($C$2:$C$5,MATCH($E102,$B$2:$B$5,0))*$I102/SUMIFS($I:$I,$E:$E,$E102,$B:$B,$B102,Q:Q,1)*IF(B102=$B$10,0.9,1),0)</f>
        <v>300</v>
      </c>
      <c r="S102" s="24">
        <f t="shared" si="411"/>
        <v>1</v>
      </c>
      <c r="T102" s="24">
        <f>ROUND(INDEX($C$2:$C$5,MATCH($E102,$B$2:$B$5,0))*$J102/SUMIFS($J:$J,$E:$E,$E102,$B:$B,$B102,S:S,1)*IF(B102=$B$10,0.9,1),0)</f>
        <v>300</v>
      </c>
      <c r="U102" s="24">
        <f t="shared" si="411"/>
        <v>1</v>
      </c>
      <c r="V102" s="24">
        <f>ROUND(INDEX($C$2:$C$5,MATCH($E102,$B$2:$B$5,0))*$K102/SUMIFS($K:$K,$E:$E,$E102,$B:$B,$B102,U:U,1)*IF(B102=$B$10,0.9,1),0)</f>
        <v>300</v>
      </c>
      <c r="W102" s="24">
        <f t="shared" ref="W102:AA102" si="412">IF($L102&lt;=W$8,1,0)</f>
        <v>1</v>
      </c>
      <c r="X102" s="24">
        <f>ROUND(INDEX($C$2:$C$5,MATCH($E102,$B$2:$B$5,0))*$F102/SUMIFS($F:$F,$E:$E,$E102,$B:$B,$B102,W:W,1)*IF(B102=$B$10,0.9,1),0)</f>
        <v>250</v>
      </c>
      <c r="Y102" s="24">
        <f t="shared" si="412"/>
        <v>1</v>
      </c>
      <c r="Z102" s="24">
        <f>ROUND(INDEX($C$2:$C$5,MATCH($E102,$B$2:$B$5,0))*$G102/SUMIFS($G:$G,$E:$E,$E102,$B:$B,$B102,Y:Y,1)*IF(B102=$B$10,0.9,1),0)</f>
        <v>250</v>
      </c>
      <c r="AA102" s="24">
        <f t="shared" si="412"/>
        <v>1</v>
      </c>
      <c r="AB102" s="24">
        <f>ROUND(INDEX($C$2:$C$5,MATCH($E102,$B$2:$B$5,0))*$H102/SUMIFS($H:$H,$E:$E,$E102,$B:$B,$B102,AA:AA,1)*IF(B102=$B$10,0.9,1),0)</f>
        <v>250</v>
      </c>
      <c r="AC102" s="24">
        <f t="shared" ref="AC102:AG102" si="413">IF($L102&lt;=AC$8,1,0)</f>
        <v>1</v>
      </c>
      <c r="AD102" s="24">
        <f>ROUND(INDEX($C$2:$C$5,MATCH($E102,$B$2:$B$5,0))*$F102/SUMIFS($F:$F,$E:$E,$E102,$B:$B,$B102,AC:AC,1)*IF(B102=$B$10,0.9,1),0)</f>
        <v>250</v>
      </c>
      <c r="AE102" s="24">
        <f t="shared" si="413"/>
        <v>1</v>
      </c>
      <c r="AF102" s="24">
        <f>ROUND(INDEX($C$2:$C$5,MATCH($E102,$B$2:$B$5,0))*$G102/SUMIFS($G:$G,$E:$E,$E102,$B:$B,$B102,AE:AE,1)*IF(B102=$B$10,0.9,1),0)</f>
        <v>250</v>
      </c>
      <c r="AG102" s="24">
        <f t="shared" si="413"/>
        <v>1</v>
      </c>
      <c r="AH102" s="24">
        <f>ROUND(INDEX($C$2:$C$5,MATCH($E102,$B$2:$B$5,0))*$H102/SUMIFS($H:$H,$E:$E,$E102,$B:$B,$B102,AG:AG,1)*IF(B102=$B$10,0.9,1),0)</f>
        <v>250</v>
      </c>
      <c r="AI102" s="24">
        <f t="shared" ref="AI102:AM102" si="414">IF($L102&lt;=AI$8,1,0)</f>
        <v>1</v>
      </c>
      <c r="AJ102" s="24">
        <f>ROUND(INDEX($C$2:$C$5,MATCH($E102,$B$2:$B$5,0))*$F102/SUMIFS($F:$F,$E:$E,$E102,$B:$B,$B102,AI:AI,1)*IF(B102=$B$10,0.9,1),0)</f>
        <v>250</v>
      </c>
      <c r="AK102" s="24">
        <f t="shared" si="414"/>
        <v>1</v>
      </c>
      <c r="AL102" s="24">
        <f>ROUND(INDEX($C$2:$C$5,MATCH($E102,$B$2:$B$5,0))*$G102/SUMIFS($G:$G,$E:$E,$E102,$B:$B,$B102,AK:AK,1)*IF(B102=$B$10,0.9,1),0)</f>
        <v>250</v>
      </c>
      <c r="AM102" s="24">
        <f t="shared" si="414"/>
        <v>1</v>
      </c>
      <c r="AN102" s="24">
        <f>ROUND(INDEX($C$2:$C$5,MATCH($E102,$B$2:$B$5,0))*$H102/SUMIFS($H:$H,$E:$E,$E102,$B:$B,$B102,AM:AM,1)*IF(B102=$B$10,0.9,1),0)</f>
        <v>250</v>
      </c>
      <c r="AX102" s="4" t="str">
        <f t="shared" si="288"/>
        <v>1,250</v>
      </c>
      <c r="AY102" s="4" t="str">
        <f t="shared" si="289"/>
        <v>1,300</v>
      </c>
      <c r="AZ102" s="4" t="str">
        <f t="shared" si="290"/>
        <v>1,300</v>
      </c>
      <c r="BA102" s="4" t="str">
        <f t="shared" si="291"/>
        <v>1,300</v>
      </c>
      <c r="BB102" s="4" t="str">
        <f t="shared" si="292"/>
        <v>1,250</v>
      </c>
      <c r="BC102" s="4" t="str">
        <f t="shared" si="293"/>
        <v>1,250</v>
      </c>
      <c r="BD102" s="4" t="str">
        <f t="shared" si="294"/>
        <v>1,250</v>
      </c>
      <c r="BE102" s="4" t="str">
        <f t="shared" si="295"/>
        <v>1,250</v>
      </c>
      <c r="BF102" s="4" t="str">
        <f t="shared" si="296"/>
        <v>1,250</v>
      </c>
      <c r="BG102" s="4" t="str">
        <f t="shared" si="297"/>
        <v>1,250</v>
      </c>
      <c r="BH102" s="4" t="str">
        <f t="shared" si="298"/>
        <v>1,250</v>
      </c>
      <c r="BI102" s="4" t="str">
        <f t="shared" si="299"/>
        <v>1,250</v>
      </c>
      <c r="BJ102" s="4" t="str">
        <f t="shared" si="300"/>
        <v>1,250</v>
      </c>
    </row>
    <row r="103" customHeight="1" spans="1:62">
      <c r="A103" s="35">
        <v>622</v>
      </c>
      <c r="B103" s="40" t="s">
        <v>63</v>
      </c>
      <c r="C103" s="40"/>
      <c r="D103" s="46" t="s">
        <v>367</v>
      </c>
      <c r="E103" s="43">
        <v>3</v>
      </c>
      <c r="F103" s="35">
        <v>1</v>
      </c>
      <c r="G103" s="35">
        <f t="shared" si="301"/>
        <v>1</v>
      </c>
      <c r="H103" s="35">
        <v>1</v>
      </c>
      <c r="I103" s="35">
        <v>1</v>
      </c>
      <c r="J103" s="35">
        <v>1</v>
      </c>
      <c r="K103" s="35">
        <v>1</v>
      </c>
      <c r="L103" s="35">
        <v>1</v>
      </c>
      <c r="M103" s="35"/>
      <c r="N103">
        <f t="shared" si="302"/>
        <v>1500</v>
      </c>
      <c r="O103" s="35">
        <v>1</v>
      </c>
      <c r="P103" s="24">
        <f>ROUND(INDEX($C$2:$C$5,MATCH($E103,$B$2:$B$5,0))*$F103/SUMIFS($F:$F,$E:$E,$E103,$B:$B,$B103,O:O,1)*IF(B103=$B$10,0.9,1),0)</f>
        <v>250</v>
      </c>
      <c r="Q103" s="24">
        <f t="shared" ref="Q103:U103" si="415">IF($L103&lt;=Q$8,1,0)</f>
        <v>1</v>
      </c>
      <c r="R103" s="24">
        <f>ROUND(INDEX($C$2:$C$5,MATCH($E103,$B$2:$B$5,0))*$I103/SUMIFS($I:$I,$E:$E,$E103,$B:$B,$B103,Q:Q,1)*IF(B103=$B$10,0.9,1),0)</f>
        <v>300</v>
      </c>
      <c r="S103" s="24">
        <f t="shared" si="415"/>
        <v>1</v>
      </c>
      <c r="T103" s="24">
        <f>ROUND(INDEX($C$2:$C$5,MATCH($E103,$B$2:$B$5,0))*$J103/SUMIFS($J:$J,$E:$E,$E103,$B:$B,$B103,S:S,1)*IF(B103=$B$10,0.9,1),0)</f>
        <v>300</v>
      </c>
      <c r="U103" s="24">
        <f t="shared" si="415"/>
        <v>1</v>
      </c>
      <c r="V103" s="24">
        <f>ROUND(INDEX($C$2:$C$5,MATCH($E103,$B$2:$B$5,0))*$K103/SUMIFS($K:$K,$E:$E,$E103,$B:$B,$B103,U:U,1)*IF(B103=$B$10,0.9,1),0)</f>
        <v>300</v>
      </c>
      <c r="W103" s="24">
        <f t="shared" ref="W103:AA103" si="416">IF($L103&lt;=W$8,1,0)</f>
        <v>1</v>
      </c>
      <c r="X103" s="24">
        <f>ROUND(INDEX($C$2:$C$5,MATCH($E103,$B$2:$B$5,0))*$F103/SUMIFS($F:$F,$E:$E,$E103,$B:$B,$B103,W:W,1)*IF(B103=$B$10,0.9,1),0)</f>
        <v>250</v>
      </c>
      <c r="Y103" s="24">
        <f t="shared" si="416"/>
        <v>1</v>
      </c>
      <c r="Z103" s="24">
        <f>ROUND(INDEX($C$2:$C$5,MATCH($E103,$B$2:$B$5,0))*$G103/SUMIFS($G:$G,$E:$E,$E103,$B:$B,$B103,Y:Y,1)*IF(B103=$B$10,0.9,1),0)</f>
        <v>250</v>
      </c>
      <c r="AA103" s="24">
        <f t="shared" si="416"/>
        <v>1</v>
      </c>
      <c r="AB103" s="24">
        <f>ROUND(INDEX($C$2:$C$5,MATCH($E103,$B$2:$B$5,0))*$H103/SUMIFS($H:$H,$E:$E,$E103,$B:$B,$B103,AA:AA,1)*IF(B103=$B$10,0.9,1),0)</f>
        <v>250</v>
      </c>
      <c r="AC103" s="24">
        <f t="shared" ref="AC103:AG103" si="417">IF($L103&lt;=AC$8,1,0)</f>
        <v>1</v>
      </c>
      <c r="AD103" s="24">
        <f>ROUND(INDEX($C$2:$C$5,MATCH($E103,$B$2:$B$5,0))*$F103/SUMIFS($F:$F,$E:$E,$E103,$B:$B,$B103,AC:AC,1)*IF(B103=$B$10,0.9,1),0)</f>
        <v>250</v>
      </c>
      <c r="AE103" s="24">
        <f t="shared" si="417"/>
        <v>1</v>
      </c>
      <c r="AF103" s="24">
        <f>ROUND(INDEX($C$2:$C$5,MATCH($E103,$B$2:$B$5,0))*$G103/SUMIFS($G:$G,$E:$E,$E103,$B:$B,$B103,AE:AE,1)*IF(B103=$B$10,0.9,1),0)</f>
        <v>250</v>
      </c>
      <c r="AG103" s="24">
        <f t="shared" si="417"/>
        <v>1</v>
      </c>
      <c r="AH103" s="24">
        <f>ROUND(INDEX($C$2:$C$5,MATCH($E103,$B$2:$B$5,0))*$H103/SUMIFS($H:$H,$E:$E,$E103,$B:$B,$B103,AG:AG,1)*IF(B103=$B$10,0.9,1),0)</f>
        <v>250</v>
      </c>
      <c r="AI103" s="24">
        <f t="shared" ref="AI103:AM103" si="418">IF($L103&lt;=AI$8,1,0)</f>
        <v>1</v>
      </c>
      <c r="AJ103" s="24">
        <f>ROUND(INDEX($C$2:$C$5,MATCH($E103,$B$2:$B$5,0))*$F103/SUMIFS($F:$F,$E:$E,$E103,$B:$B,$B103,AI:AI,1)*IF(B103=$B$10,0.9,1),0)</f>
        <v>250</v>
      </c>
      <c r="AK103" s="24">
        <f t="shared" si="418"/>
        <v>1</v>
      </c>
      <c r="AL103" s="24">
        <f>ROUND(INDEX($C$2:$C$5,MATCH($E103,$B$2:$B$5,0))*$G103/SUMIFS($G:$G,$E:$E,$E103,$B:$B,$B103,AK:AK,1)*IF(B103=$B$10,0.9,1),0)</f>
        <v>250</v>
      </c>
      <c r="AM103" s="24">
        <f t="shared" si="418"/>
        <v>1</v>
      </c>
      <c r="AN103" s="24">
        <f>ROUND(INDEX($C$2:$C$5,MATCH($E103,$B$2:$B$5,0))*$H103/SUMIFS($H:$H,$E:$E,$E103,$B:$B,$B103,AM:AM,1)*IF(B103=$B$10,0.9,1),0)</f>
        <v>250</v>
      </c>
      <c r="AX103" s="4" t="str">
        <f t="shared" si="288"/>
        <v>1,250</v>
      </c>
      <c r="AY103" s="4" t="str">
        <f t="shared" si="289"/>
        <v>1,300</v>
      </c>
      <c r="AZ103" s="4" t="str">
        <f t="shared" si="290"/>
        <v>1,300</v>
      </c>
      <c r="BA103" s="4" t="str">
        <f t="shared" si="291"/>
        <v>1,300</v>
      </c>
      <c r="BB103" s="4" t="str">
        <f t="shared" si="292"/>
        <v>1,250</v>
      </c>
      <c r="BC103" s="4" t="str">
        <f t="shared" si="293"/>
        <v>1,250</v>
      </c>
      <c r="BD103" s="4" t="str">
        <f t="shared" si="294"/>
        <v>1,250</v>
      </c>
      <c r="BE103" s="4" t="str">
        <f t="shared" si="295"/>
        <v>1,250</v>
      </c>
      <c r="BF103" s="4" t="str">
        <f t="shared" si="296"/>
        <v>1,250</v>
      </c>
      <c r="BG103" s="4" t="str">
        <f t="shared" si="297"/>
        <v>1,250</v>
      </c>
      <c r="BH103" s="4" t="str">
        <f t="shared" si="298"/>
        <v>1,250</v>
      </c>
      <c r="BI103" s="4" t="str">
        <f t="shared" si="299"/>
        <v>1,250</v>
      </c>
      <c r="BJ103" s="4" t="str">
        <f t="shared" si="300"/>
        <v>1,250</v>
      </c>
    </row>
    <row r="104" customHeight="1" spans="1:62">
      <c r="A104" s="35">
        <v>623</v>
      </c>
      <c r="B104" s="40" t="s">
        <v>63</v>
      </c>
      <c r="C104" s="40"/>
      <c r="D104" s="46" t="s">
        <v>368</v>
      </c>
      <c r="E104" s="45">
        <v>3</v>
      </c>
      <c r="F104" s="35">
        <v>1</v>
      </c>
      <c r="G104" s="35">
        <f t="shared" si="301"/>
        <v>1</v>
      </c>
      <c r="H104" s="35">
        <v>1</v>
      </c>
      <c r="I104" s="35">
        <v>1</v>
      </c>
      <c r="J104" s="35">
        <v>1</v>
      </c>
      <c r="K104" s="35">
        <v>1</v>
      </c>
      <c r="L104" s="35">
        <v>1</v>
      </c>
      <c r="M104" s="35"/>
      <c r="N104">
        <f t="shared" si="302"/>
        <v>1500</v>
      </c>
      <c r="O104" s="35">
        <v>1</v>
      </c>
      <c r="P104" s="24">
        <f>ROUND(INDEX($C$2:$C$5,MATCH($E104,$B$2:$B$5,0))*$F104/SUMIFS($F:$F,$E:$E,$E104,$B:$B,$B104,O:O,1)*IF(B104=$B$10,0.9,1),0)</f>
        <v>250</v>
      </c>
      <c r="Q104" s="24">
        <f t="shared" ref="Q104:U104" si="419">IF($L104&lt;=Q$8,1,0)</f>
        <v>1</v>
      </c>
      <c r="R104" s="24">
        <f>ROUND(INDEX($C$2:$C$5,MATCH($E104,$B$2:$B$5,0))*$I104/SUMIFS($I:$I,$E:$E,$E104,$B:$B,$B104,Q:Q,1)*IF(B104=$B$10,0.9,1),0)</f>
        <v>300</v>
      </c>
      <c r="S104" s="24">
        <f t="shared" si="419"/>
        <v>1</v>
      </c>
      <c r="T104" s="24">
        <f>ROUND(INDEX($C$2:$C$5,MATCH($E104,$B$2:$B$5,0))*$J104/SUMIFS($J:$J,$E:$E,$E104,$B:$B,$B104,S:S,1)*IF(B104=$B$10,0.9,1),0)</f>
        <v>300</v>
      </c>
      <c r="U104" s="24">
        <f t="shared" si="419"/>
        <v>1</v>
      </c>
      <c r="V104" s="24">
        <f>ROUND(INDEX($C$2:$C$5,MATCH($E104,$B$2:$B$5,0))*$K104/SUMIFS($K:$K,$E:$E,$E104,$B:$B,$B104,U:U,1)*IF(B104=$B$10,0.9,1),0)</f>
        <v>300</v>
      </c>
      <c r="W104" s="24">
        <f t="shared" ref="W104:AA104" si="420">IF($L104&lt;=W$8,1,0)</f>
        <v>1</v>
      </c>
      <c r="X104" s="24">
        <f>ROUND(INDEX($C$2:$C$5,MATCH($E104,$B$2:$B$5,0))*$F104/SUMIFS($F:$F,$E:$E,$E104,$B:$B,$B104,W:W,1)*IF(B104=$B$10,0.9,1),0)</f>
        <v>250</v>
      </c>
      <c r="Y104" s="24">
        <f t="shared" si="420"/>
        <v>1</v>
      </c>
      <c r="Z104" s="24">
        <f>ROUND(INDEX($C$2:$C$5,MATCH($E104,$B$2:$B$5,0))*$G104/SUMIFS($G:$G,$E:$E,$E104,$B:$B,$B104,Y:Y,1)*IF(B104=$B$10,0.9,1),0)</f>
        <v>250</v>
      </c>
      <c r="AA104" s="24">
        <f t="shared" si="420"/>
        <v>1</v>
      </c>
      <c r="AB104" s="24">
        <f>ROUND(INDEX($C$2:$C$5,MATCH($E104,$B$2:$B$5,0))*$H104/SUMIFS($H:$H,$E:$E,$E104,$B:$B,$B104,AA:AA,1)*IF(B104=$B$10,0.9,1),0)</f>
        <v>250</v>
      </c>
      <c r="AC104" s="24">
        <f t="shared" ref="AC104:AG104" si="421">IF($L104&lt;=AC$8,1,0)</f>
        <v>1</v>
      </c>
      <c r="AD104" s="24">
        <f>ROUND(INDEX($C$2:$C$5,MATCH($E104,$B$2:$B$5,0))*$F104/SUMIFS($F:$F,$E:$E,$E104,$B:$B,$B104,AC:AC,1)*IF(B104=$B$10,0.9,1),0)</f>
        <v>250</v>
      </c>
      <c r="AE104" s="24">
        <f t="shared" si="421"/>
        <v>1</v>
      </c>
      <c r="AF104" s="24">
        <f>ROUND(INDEX($C$2:$C$5,MATCH($E104,$B$2:$B$5,0))*$G104/SUMIFS($G:$G,$E:$E,$E104,$B:$B,$B104,AE:AE,1)*IF(B104=$B$10,0.9,1),0)</f>
        <v>250</v>
      </c>
      <c r="AG104" s="24">
        <f t="shared" si="421"/>
        <v>1</v>
      </c>
      <c r="AH104" s="24">
        <f>ROUND(INDEX($C$2:$C$5,MATCH($E104,$B$2:$B$5,0))*$H104/SUMIFS($H:$H,$E:$E,$E104,$B:$B,$B104,AG:AG,1)*IF(B104=$B$10,0.9,1),0)</f>
        <v>250</v>
      </c>
      <c r="AI104" s="24">
        <f t="shared" ref="AI104:AM104" si="422">IF($L104&lt;=AI$8,1,0)</f>
        <v>1</v>
      </c>
      <c r="AJ104" s="24">
        <f>ROUND(INDEX($C$2:$C$5,MATCH($E104,$B$2:$B$5,0))*$F104/SUMIFS($F:$F,$E:$E,$E104,$B:$B,$B104,AI:AI,1)*IF(B104=$B$10,0.9,1),0)</f>
        <v>250</v>
      </c>
      <c r="AK104" s="24">
        <f t="shared" si="422"/>
        <v>1</v>
      </c>
      <c r="AL104" s="24">
        <f>ROUND(INDEX($C$2:$C$5,MATCH($E104,$B$2:$B$5,0))*$G104/SUMIFS($G:$G,$E:$E,$E104,$B:$B,$B104,AK:AK,1)*IF(B104=$B$10,0.9,1),0)</f>
        <v>250</v>
      </c>
      <c r="AM104" s="24">
        <f t="shared" si="422"/>
        <v>1</v>
      </c>
      <c r="AN104" s="24">
        <f>ROUND(INDEX($C$2:$C$5,MATCH($E104,$B$2:$B$5,0))*$H104/SUMIFS($H:$H,$E:$E,$E104,$B:$B,$B104,AM:AM,1)*IF(B104=$B$10,0.9,1),0)</f>
        <v>250</v>
      </c>
      <c r="AX104" s="4" t="str">
        <f t="shared" si="288"/>
        <v>1,250</v>
      </c>
      <c r="AY104" s="4" t="str">
        <f t="shared" si="289"/>
        <v>1,300</v>
      </c>
      <c r="AZ104" s="4" t="str">
        <f t="shared" si="290"/>
        <v>1,300</v>
      </c>
      <c r="BA104" s="4" t="str">
        <f t="shared" si="291"/>
        <v>1,300</v>
      </c>
      <c r="BB104" s="4" t="str">
        <f t="shared" si="292"/>
        <v>1,250</v>
      </c>
      <c r="BC104" s="4" t="str">
        <f t="shared" si="293"/>
        <v>1,250</v>
      </c>
      <c r="BD104" s="4" t="str">
        <f t="shared" si="294"/>
        <v>1,250</v>
      </c>
      <c r="BE104" s="4" t="str">
        <f t="shared" si="295"/>
        <v>1,250</v>
      </c>
      <c r="BF104" s="4" t="str">
        <f t="shared" si="296"/>
        <v>1,250</v>
      </c>
      <c r="BG104" s="4" t="str">
        <f t="shared" si="297"/>
        <v>1,250</v>
      </c>
      <c r="BH104" s="4" t="str">
        <f t="shared" si="298"/>
        <v>1,250</v>
      </c>
      <c r="BI104" s="4" t="str">
        <f t="shared" si="299"/>
        <v>1,250</v>
      </c>
      <c r="BJ104" s="4" t="str">
        <f t="shared" si="300"/>
        <v>1,250</v>
      </c>
    </row>
    <row r="105" customHeight="1" spans="1:62">
      <c r="A105" s="35">
        <v>624</v>
      </c>
      <c r="B105" s="40" t="s">
        <v>63</v>
      </c>
      <c r="C105" s="40"/>
      <c r="D105" s="46" t="s">
        <v>369</v>
      </c>
      <c r="E105" s="45">
        <v>3</v>
      </c>
      <c r="F105" s="35">
        <v>1</v>
      </c>
      <c r="G105" s="35">
        <f t="shared" si="301"/>
        <v>1</v>
      </c>
      <c r="H105" s="35">
        <v>1</v>
      </c>
      <c r="I105" s="35">
        <v>1</v>
      </c>
      <c r="J105" s="35">
        <v>1</v>
      </c>
      <c r="K105" s="35">
        <v>1</v>
      </c>
      <c r="L105" s="35">
        <v>1</v>
      </c>
      <c r="M105" s="35"/>
      <c r="N105">
        <f t="shared" si="302"/>
        <v>1500</v>
      </c>
      <c r="O105" s="35">
        <v>1</v>
      </c>
      <c r="P105" s="24">
        <f>ROUND(INDEX($C$2:$C$5,MATCH($E105,$B$2:$B$5,0))*$F105/SUMIFS($F:$F,$E:$E,$E105,$B:$B,$B105,O:O,1)*IF(B105=$B$10,0.9,1),0)</f>
        <v>250</v>
      </c>
      <c r="Q105" s="24">
        <f t="shared" ref="Q105:U105" si="423">IF($L105&lt;=Q$8,1,0)</f>
        <v>1</v>
      </c>
      <c r="R105" s="24">
        <f>ROUND(INDEX($C$2:$C$5,MATCH($E105,$B$2:$B$5,0))*$I105/SUMIFS($I:$I,$E:$E,$E105,$B:$B,$B105,Q:Q,1)*IF(B105=$B$10,0.9,1),0)</f>
        <v>300</v>
      </c>
      <c r="S105" s="24">
        <f t="shared" si="423"/>
        <v>1</v>
      </c>
      <c r="T105" s="24">
        <f>ROUND(INDEX($C$2:$C$5,MATCH($E105,$B$2:$B$5,0))*$J105/SUMIFS($J:$J,$E:$E,$E105,$B:$B,$B105,S:S,1)*IF(B105=$B$10,0.9,1),0)</f>
        <v>300</v>
      </c>
      <c r="U105" s="24">
        <f t="shared" si="423"/>
        <v>1</v>
      </c>
      <c r="V105" s="24">
        <f>ROUND(INDEX($C$2:$C$5,MATCH($E105,$B$2:$B$5,0))*$K105/SUMIFS($K:$K,$E:$E,$E105,$B:$B,$B105,U:U,1)*IF(B105=$B$10,0.9,1),0)</f>
        <v>300</v>
      </c>
      <c r="W105" s="24">
        <f t="shared" ref="W105:AA105" si="424">IF($L105&lt;=W$8,1,0)</f>
        <v>1</v>
      </c>
      <c r="X105" s="24">
        <f>ROUND(INDEX($C$2:$C$5,MATCH($E105,$B$2:$B$5,0))*$F105/SUMIFS($F:$F,$E:$E,$E105,$B:$B,$B105,W:W,1)*IF(B105=$B$10,0.9,1),0)</f>
        <v>250</v>
      </c>
      <c r="Y105" s="24">
        <f t="shared" si="424"/>
        <v>1</v>
      </c>
      <c r="Z105" s="24">
        <f>ROUND(INDEX($C$2:$C$5,MATCH($E105,$B$2:$B$5,0))*$G105/SUMIFS($G:$G,$E:$E,$E105,$B:$B,$B105,Y:Y,1)*IF(B105=$B$10,0.9,1),0)</f>
        <v>250</v>
      </c>
      <c r="AA105" s="24">
        <f t="shared" si="424"/>
        <v>1</v>
      </c>
      <c r="AB105" s="24">
        <f>ROUND(INDEX($C$2:$C$5,MATCH($E105,$B$2:$B$5,0))*$H105/SUMIFS($H:$H,$E:$E,$E105,$B:$B,$B105,AA:AA,1)*IF(B105=$B$10,0.9,1),0)</f>
        <v>250</v>
      </c>
      <c r="AC105" s="24">
        <f t="shared" ref="AC105:AG105" si="425">IF($L105&lt;=AC$8,1,0)</f>
        <v>1</v>
      </c>
      <c r="AD105" s="24">
        <f>ROUND(INDEX($C$2:$C$5,MATCH($E105,$B$2:$B$5,0))*$F105/SUMIFS($F:$F,$E:$E,$E105,$B:$B,$B105,AC:AC,1)*IF(B105=$B$10,0.9,1),0)</f>
        <v>250</v>
      </c>
      <c r="AE105" s="24">
        <f t="shared" si="425"/>
        <v>1</v>
      </c>
      <c r="AF105" s="24">
        <f>ROUND(INDEX($C$2:$C$5,MATCH($E105,$B$2:$B$5,0))*$G105/SUMIFS($G:$G,$E:$E,$E105,$B:$B,$B105,AE:AE,1)*IF(B105=$B$10,0.9,1),0)</f>
        <v>250</v>
      </c>
      <c r="AG105" s="24">
        <f t="shared" si="425"/>
        <v>1</v>
      </c>
      <c r="AH105" s="24">
        <f>ROUND(INDEX($C$2:$C$5,MATCH($E105,$B$2:$B$5,0))*$H105/SUMIFS($H:$H,$E:$E,$E105,$B:$B,$B105,AG:AG,1)*IF(B105=$B$10,0.9,1),0)</f>
        <v>250</v>
      </c>
      <c r="AI105" s="24">
        <f t="shared" ref="AI105:AM105" si="426">IF($L105&lt;=AI$8,1,0)</f>
        <v>1</v>
      </c>
      <c r="AJ105" s="24">
        <f>ROUND(INDEX($C$2:$C$5,MATCH($E105,$B$2:$B$5,0))*$F105/SUMIFS($F:$F,$E:$E,$E105,$B:$B,$B105,AI:AI,1)*IF(B105=$B$10,0.9,1),0)</f>
        <v>250</v>
      </c>
      <c r="AK105" s="24">
        <f t="shared" si="426"/>
        <v>1</v>
      </c>
      <c r="AL105" s="24">
        <f>ROUND(INDEX($C$2:$C$5,MATCH($E105,$B$2:$B$5,0))*$G105/SUMIFS($G:$G,$E:$E,$E105,$B:$B,$B105,AK:AK,1)*IF(B105=$B$10,0.9,1),0)</f>
        <v>250</v>
      </c>
      <c r="AM105" s="24">
        <f t="shared" si="426"/>
        <v>1</v>
      </c>
      <c r="AN105" s="24">
        <f>ROUND(INDEX($C$2:$C$5,MATCH($E105,$B$2:$B$5,0))*$H105/SUMIFS($H:$H,$E:$E,$E105,$B:$B,$B105,AM:AM,1)*IF(B105=$B$10,0.9,1),0)</f>
        <v>250</v>
      </c>
      <c r="AX105" s="4" t="str">
        <f t="shared" si="288"/>
        <v>1,250</v>
      </c>
      <c r="AY105" s="4" t="str">
        <f t="shared" si="289"/>
        <v>1,300</v>
      </c>
      <c r="AZ105" s="4" t="str">
        <f t="shared" si="290"/>
        <v>1,300</v>
      </c>
      <c r="BA105" s="4" t="str">
        <f t="shared" si="291"/>
        <v>1,300</v>
      </c>
      <c r="BB105" s="4" t="str">
        <f t="shared" si="292"/>
        <v>1,250</v>
      </c>
      <c r="BC105" s="4" t="str">
        <f t="shared" si="293"/>
        <v>1,250</v>
      </c>
      <c r="BD105" s="4" t="str">
        <f t="shared" si="294"/>
        <v>1,250</v>
      </c>
      <c r="BE105" s="4" t="str">
        <f t="shared" si="295"/>
        <v>1,250</v>
      </c>
      <c r="BF105" s="4" t="str">
        <f t="shared" si="296"/>
        <v>1,250</v>
      </c>
      <c r="BG105" s="4" t="str">
        <f t="shared" si="297"/>
        <v>1,250</v>
      </c>
      <c r="BH105" s="4" t="str">
        <f t="shared" si="298"/>
        <v>1,250</v>
      </c>
      <c r="BI105" s="4" t="str">
        <f t="shared" si="299"/>
        <v>1,250</v>
      </c>
      <c r="BJ105" s="4" t="str">
        <f t="shared" si="300"/>
        <v>1,250</v>
      </c>
    </row>
    <row r="106" customHeight="1" spans="1:62">
      <c r="A106" s="35">
        <v>631</v>
      </c>
      <c r="B106" s="40" t="s">
        <v>63</v>
      </c>
      <c r="C106" s="40" t="s">
        <v>218</v>
      </c>
      <c r="D106" s="44" t="s">
        <v>35</v>
      </c>
      <c r="E106" s="43">
        <v>2</v>
      </c>
      <c r="F106" s="35">
        <v>1</v>
      </c>
      <c r="G106" s="35">
        <f t="shared" si="301"/>
        <v>1</v>
      </c>
      <c r="H106" s="35">
        <v>1</v>
      </c>
      <c r="I106" s="35">
        <v>1</v>
      </c>
      <c r="J106" s="35">
        <v>1</v>
      </c>
      <c r="K106" s="35">
        <v>1</v>
      </c>
      <c r="L106" s="35">
        <v>2</v>
      </c>
      <c r="M106" s="35" t="s">
        <v>136</v>
      </c>
      <c r="N106">
        <f t="shared" si="302"/>
        <v>4500</v>
      </c>
      <c r="O106" s="35">
        <v>1</v>
      </c>
      <c r="P106" s="24">
        <f>ROUND(INDEX($C$2:$C$5,MATCH($E106,$B$2:$B$5,0))*$F106/SUMIFS($F:$F,$E:$E,$E106,$B:$B,$B106,O:O,1)*IF(B106=$B$10,0.9,1),0)</f>
        <v>750</v>
      </c>
      <c r="Q106" s="24">
        <f t="shared" ref="Q106:U106" si="427">IF($L106&lt;=Q$8,1,0)</f>
        <v>0</v>
      </c>
      <c r="R106" s="24">
        <f>ROUND(INDEX($C$2:$C$5,MATCH($E106,$B$2:$B$5,0))*$I106/SUMIFS($I:$I,$E:$E,$E106,$B:$B,$B106,Q:Q,1)*IF(B106=$B$10,0.9,1),0)</f>
        <v>900</v>
      </c>
      <c r="S106" s="24">
        <f t="shared" si="427"/>
        <v>0</v>
      </c>
      <c r="T106" s="24">
        <f>ROUND(INDEX($C$2:$C$5,MATCH($E106,$B$2:$B$5,0))*$J106/SUMIFS($J:$J,$E:$E,$E106,$B:$B,$B106,S:S,1)*IF(B106=$B$10,0.9,1),0)</f>
        <v>900</v>
      </c>
      <c r="U106" s="24">
        <f t="shared" si="427"/>
        <v>0</v>
      </c>
      <c r="V106" s="24">
        <f>ROUND(INDEX($C$2:$C$5,MATCH($E106,$B$2:$B$5,0))*$K106/SUMIFS($K:$K,$E:$E,$E106,$B:$B,$B106,U:U,1)*IF(B106=$B$10,0.9,1),0)</f>
        <v>900</v>
      </c>
      <c r="W106" s="24">
        <f t="shared" ref="W106:AA106" si="428">IF($L106&lt;=W$8,1,0)</f>
        <v>1</v>
      </c>
      <c r="X106" s="24">
        <f>ROUND(INDEX($C$2:$C$5,MATCH($E106,$B$2:$B$5,0))*$F106/SUMIFS($F:$F,$E:$E,$E106,$B:$B,$B106,W:W,1)*IF(B106=$B$10,0.9,1),0)</f>
        <v>750</v>
      </c>
      <c r="Y106" s="24">
        <f t="shared" si="428"/>
        <v>1</v>
      </c>
      <c r="Z106" s="24">
        <f>ROUND(INDEX($C$2:$C$5,MATCH($E106,$B$2:$B$5,0))*$G106/SUMIFS($G:$G,$E:$E,$E106,$B:$B,$B106,Y:Y,1)*IF(B106=$B$10,0.9,1),0)</f>
        <v>750</v>
      </c>
      <c r="AA106" s="24">
        <f t="shared" si="428"/>
        <v>1</v>
      </c>
      <c r="AB106" s="24">
        <f>ROUND(INDEX($C$2:$C$5,MATCH($E106,$B$2:$B$5,0))*$H106/SUMIFS($H:$H,$E:$E,$E106,$B:$B,$B106,AA:AA,1)*IF(B106=$B$10,0.9,1),0)</f>
        <v>750</v>
      </c>
      <c r="AC106" s="24">
        <f t="shared" ref="AC106:AG106" si="429">IF($L106&lt;=AC$8,1,0)</f>
        <v>1</v>
      </c>
      <c r="AD106" s="24">
        <f>ROUND(INDEX($C$2:$C$5,MATCH($E106,$B$2:$B$5,0))*$F106/SUMIFS($F:$F,$E:$E,$E106,$B:$B,$B106,AC:AC,1)*IF(B106=$B$10,0.9,1),0)</f>
        <v>750</v>
      </c>
      <c r="AE106" s="24">
        <f t="shared" si="429"/>
        <v>1</v>
      </c>
      <c r="AF106" s="24">
        <f>ROUND(INDEX($C$2:$C$5,MATCH($E106,$B$2:$B$5,0))*$G106/SUMIFS($G:$G,$E:$E,$E106,$B:$B,$B106,AE:AE,1)*IF(B106=$B$10,0.9,1),0)</f>
        <v>750</v>
      </c>
      <c r="AG106" s="24">
        <f t="shared" si="429"/>
        <v>1</v>
      </c>
      <c r="AH106" s="24">
        <f>ROUND(INDEX($C$2:$C$5,MATCH($E106,$B$2:$B$5,0))*$H106/SUMIFS($H:$H,$E:$E,$E106,$B:$B,$B106,AG:AG,1)*IF(B106=$B$10,0.9,1),0)</f>
        <v>750</v>
      </c>
      <c r="AI106" s="24">
        <f t="shared" ref="AI106:AM106" si="430">IF($L106&lt;=AI$8,1,0)</f>
        <v>1</v>
      </c>
      <c r="AJ106" s="24">
        <f>ROUND(INDEX($C$2:$C$5,MATCH($E106,$B$2:$B$5,0))*$F106/SUMIFS($F:$F,$E:$E,$E106,$B:$B,$B106,AI:AI,1)*IF(B106=$B$10,0.9,1),0)</f>
        <v>750</v>
      </c>
      <c r="AK106" s="24">
        <f t="shared" si="430"/>
        <v>1</v>
      </c>
      <c r="AL106" s="24">
        <f>ROUND(INDEX($C$2:$C$5,MATCH($E106,$B$2:$B$5,0))*$G106/SUMIFS($G:$G,$E:$E,$E106,$B:$B,$B106,AK:AK,1)*IF(B106=$B$10,0.9,1),0)</f>
        <v>750</v>
      </c>
      <c r="AM106" s="24">
        <f t="shared" si="430"/>
        <v>1</v>
      </c>
      <c r="AN106" s="24">
        <f>ROUND(INDEX($C$2:$C$5,MATCH($E106,$B$2:$B$5,0))*$H106/SUMIFS($H:$H,$E:$E,$E106,$B:$B,$B106,AM:AM,1)*IF(B106=$B$10,0.9,1),0)</f>
        <v>750</v>
      </c>
      <c r="AX106" s="4" t="str">
        <f t="shared" si="288"/>
        <v>1,750</v>
      </c>
      <c r="AY106" s="4" t="str">
        <f t="shared" si="289"/>
        <v>0,900</v>
      </c>
      <c r="AZ106" s="4" t="str">
        <f t="shared" si="290"/>
        <v>0,900</v>
      </c>
      <c r="BA106" s="4" t="str">
        <f t="shared" si="291"/>
        <v>0,900</v>
      </c>
      <c r="BB106" s="4" t="str">
        <f t="shared" si="292"/>
        <v>1,750</v>
      </c>
      <c r="BC106" s="4" t="str">
        <f t="shared" si="293"/>
        <v>1,750</v>
      </c>
      <c r="BD106" s="4" t="str">
        <f t="shared" si="294"/>
        <v>1,750</v>
      </c>
      <c r="BE106" s="4" t="str">
        <f t="shared" si="295"/>
        <v>1,750</v>
      </c>
      <c r="BF106" s="4" t="str">
        <f t="shared" si="296"/>
        <v>1,750</v>
      </c>
      <c r="BG106" s="4" t="str">
        <f t="shared" si="297"/>
        <v>1,750</v>
      </c>
      <c r="BH106" s="4" t="str">
        <f t="shared" si="298"/>
        <v>1,750</v>
      </c>
      <c r="BI106" s="4" t="str">
        <f t="shared" si="299"/>
        <v>1,750</v>
      </c>
      <c r="BJ106" s="4" t="str">
        <f t="shared" si="300"/>
        <v>1,750</v>
      </c>
    </row>
    <row r="107" customHeight="1" spans="1:62">
      <c r="A107" s="35">
        <v>632</v>
      </c>
      <c r="B107" s="40" t="s">
        <v>63</v>
      </c>
      <c r="C107" s="40" t="s">
        <v>218</v>
      </c>
      <c r="D107" s="44" t="s">
        <v>387</v>
      </c>
      <c r="E107" s="45">
        <v>2</v>
      </c>
      <c r="F107" s="35">
        <v>1</v>
      </c>
      <c r="G107" s="35">
        <f t="shared" si="301"/>
        <v>1</v>
      </c>
      <c r="H107" s="35">
        <v>1</v>
      </c>
      <c r="I107" s="35">
        <v>1</v>
      </c>
      <c r="J107" s="35">
        <v>1</v>
      </c>
      <c r="K107" s="35">
        <v>1</v>
      </c>
      <c r="L107" s="35">
        <v>1</v>
      </c>
      <c r="M107" s="35"/>
      <c r="N107">
        <f t="shared" si="302"/>
        <v>4500</v>
      </c>
      <c r="O107" s="35">
        <v>1</v>
      </c>
      <c r="P107" s="24">
        <f>ROUND(INDEX($C$2:$C$5,MATCH($E107,$B$2:$B$5,0))*$F107/SUMIFS($F:$F,$E:$E,$E107,$B:$B,$B107,O:O,1)*IF(B107=$B$10,0.9,1),0)</f>
        <v>750</v>
      </c>
      <c r="Q107" s="24">
        <f t="shared" ref="Q107:U107" si="431">IF($L107&lt;=Q$8,1,0)</f>
        <v>1</v>
      </c>
      <c r="R107" s="24">
        <f>ROUND(INDEX($C$2:$C$5,MATCH($E107,$B$2:$B$5,0))*$I107/SUMIFS($I:$I,$E:$E,$E107,$B:$B,$B107,Q:Q,1)*IF(B107=$B$10,0.9,1),0)</f>
        <v>900</v>
      </c>
      <c r="S107" s="24">
        <f t="shared" si="431"/>
        <v>1</v>
      </c>
      <c r="T107" s="24">
        <f>ROUND(INDEX($C$2:$C$5,MATCH($E107,$B$2:$B$5,0))*$J107/SUMIFS($J:$J,$E:$E,$E107,$B:$B,$B107,S:S,1)*IF(B107=$B$10,0.9,1),0)</f>
        <v>900</v>
      </c>
      <c r="U107" s="24">
        <f t="shared" si="431"/>
        <v>1</v>
      </c>
      <c r="V107" s="24">
        <f>ROUND(INDEX($C$2:$C$5,MATCH($E107,$B$2:$B$5,0))*$K107/SUMIFS($K:$K,$E:$E,$E107,$B:$B,$B107,U:U,1)*IF(B107=$B$10,0.9,1),0)</f>
        <v>900</v>
      </c>
      <c r="W107" s="24">
        <f t="shared" ref="W107:AA107" si="432">IF($L107&lt;=W$8,1,0)</f>
        <v>1</v>
      </c>
      <c r="X107" s="24">
        <f>ROUND(INDEX($C$2:$C$5,MATCH($E107,$B$2:$B$5,0))*$F107/SUMIFS($F:$F,$E:$E,$E107,$B:$B,$B107,W:W,1)*IF(B107=$B$10,0.9,1),0)</f>
        <v>750</v>
      </c>
      <c r="Y107" s="24">
        <f t="shared" si="432"/>
        <v>1</v>
      </c>
      <c r="Z107" s="24">
        <f>ROUND(INDEX($C$2:$C$5,MATCH($E107,$B$2:$B$5,0))*$G107/SUMIFS($G:$G,$E:$E,$E107,$B:$B,$B107,Y:Y,1)*IF(B107=$B$10,0.9,1),0)</f>
        <v>750</v>
      </c>
      <c r="AA107" s="24">
        <f t="shared" si="432"/>
        <v>1</v>
      </c>
      <c r="AB107" s="24">
        <f>ROUND(INDEX($C$2:$C$5,MATCH($E107,$B$2:$B$5,0))*$H107/SUMIFS($H:$H,$E:$E,$E107,$B:$B,$B107,AA:AA,1)*IF(B107=$B$10,0.9,1),0)</f>
        <v>750</v>
      </c>
      <c r="AC107" s="24">
        <f t="shared" ref="AC107:AG107" si="433">IF($L107&lt;=AC$8,1,0)</f>
        <v>1</v>
      </c>
      <c r="AD107" s="24">
        <f>ROUND(INDEX($C$2:$C$5,MATCH($E107,$B$2:$B$5,0))*$F107/SUMIFS($F:$F,$E:$E,$E107,$B:$B,$B107,AC:AC,1)*IF(B107=$B$10,0.9,1),0)</f>
        <v>750</v>
      </c>
      <c r="AE107" s="24">
        <f t="shared" si="433"/>
        <v>1</v>
      </c>
      <c r="AF107" s="24">
        <f>ROUND(INDEX($C$2:$C$5,MATCH($E107,$B$2:$B$5,0))*$G107/SUMIFS($G:$G,$E:$E,$E107,$B:$B,$B107,AE:AE,1)*IF(B107=$B$10,0.9,1),0)</f>
        <v>750</v>
      </c>
      <c r="AG107" s="24">
        <f t="shared" si="433"/>
        <v>1</v>
      </c>
      <c r="AH107" s="24">
        <f>ROUND(INDEX($C$2:$C$5,MATCH($E107,$B$2:$B$5,0))*$H107/SUMIFS($H:$H,$E:$E,$E107,$B:$B,$B107,AG:AG,1)*IF(B107=$B$10,0.9,1),0)</f>
        <v>750</v>
      </c>
      <c r="AI107" s="24">
        <f t="shared" ref="AI107:AM107" si="434">IF($L107&lt;=AI$8,1,0)</f>
        <v>1</v>
      </c>
      <c r="AJ107" s="24">
        <f>ROUND(INDEX($C$2:$C$5,MATCH($E107,$B$2:$B$5,0))*$F107/SUMIFS($F:$F,$E:$E,$E107,$B:$B,$B107,AI:AI,1)*IF(B107=$B$10,0.9,1),0)</f>
        <v>750</v>
      </c>
      <c r="AK107" s="24">
        <f t="shared" si="434"/>
        <v>1</v>
      </c>
      <c r="AL107" s="24">
        <f>ROUND(INDEX($C$2:$C$5,MATCH($E107,$B$2:$B$5,0))*$G107/SUMIFS($G:$G,$E:$E,$E107,$B:$B,$B107,AK:AK,1)*IF(B107=$B$10,0.9,1),0)</f>
        <v>750</v>
      </c>
      <c r="AM107" s="24">
        <f t="shared" si="434"/>
        <v>1</v>
      </c>
      <c r="AN107" s="24">
        <f>ROUND(INDEX($C$2:$C$5,MATCH($E107,$B$2:$B$5,0))*$H107/SUMIFS($H:$H,$E:$E,$E107,$B:$B,$B107,AM:AM,1)*IF(B107=$B$10,0.9,1),0)</f>
        <v>750</v>
      </c>
      <c r="AX107" s="4" t="str">
        <f t="shared" si="288"/>
        <v>1,750</v>
      </c>
      <c r="AY107" s="4" t="str">
        <f t="shared" si="289"/>
        <v>1,900</v>
      </c>
      <c r="AZ107" s="4" t="str">
        <f t="shared" si="290"/>
        <v>1,900</v>
      </c>
      <c r="BA107" s="4" t="str">
        <f t="shared" si="291"/>
        <v>1,900</v>
      </c>
      <c r="BB107" s="4" t="str">
        <f t="shared" si="292"/>
        <v>1,750</v>
      </c>
      <c r="BC107" s="4" t="str">
        <f t="shared" si="293"/>
        <v>1,750</v>
      </c>
      <c r="BD107" s="4" t="str">
        <f t="shared" si="294"/>
        <v>1,750</v>
      </c>
      <c r="BE107" s="4" t="str">
        <f t="shared" si="295"/>
        <v>1,750</v>
      </c>
      <c r="BF107" s="4" t="str">
        <f t="shared" si="296"/>
        <v>1,750</v>
      </c>
      <c r="BG107" s="4" t="str">
        <f t="shared" si="297"/>
        <v>1,750</v>
      </c>
      <c r="BH107" s="4" t="str">
        <f t="shared" si="298"/>
        <v>1,750</v>
      </c>
      <c r="BI107" s="4" t="str">
        <f t="shared" si="299"/>
        <v>1,750</v>
      </c>
      <c r="BJ107" s="4" t="str">
        <f t="shared" si="300"/>
        <v>1,750</v>
      </c>
    </row>
    <row r="108" customHeight="1" spans="1:62">
      <c r="A108" s="35">
        <v>641</v>
      </c>
      <c r="B108" s="40" t="s">
        <v>63</v>
      </c>
      <c r="C108" s="40" t="s">
        <v>218</v>
      </c>
      <c r="D108" s="46" t="s">
        <v>388</v>
      </c>
      <c r="E108" s="45">
        <v>3</v>
      </c>
      <c r="F108" s="35">
        <v>1</v>
      </c>
      <c r="G108" s="35">
        <f t="shared" si="301"/>
        <v>1</v>
      </c>
      <c r="H108" s="35">
        <v>1</v>
      </c>
      <c r="I108" s="35">
        <v>1</v>
      </c>
      <c r="J108" s="35">
        <v>1</v>
      </c>
      <c r="K108" s="35">
        <v>1</v>
      </c>
      <c r="L108" s="35">
        <v>1</v>
      </c>
      <c r="M108" s="35" t="s">
        <v>136</v>
      </c>
      <c r="N108">
        <f t="shared" si="302"/>
        <v>1500</v>
      </c>
      <c r="O108" s="35">
        <v>1</v>
      </c>
      <c r="P108" s="24">
        <f>ROUND(INDEX($C$2:$C$5,MATCH($E108,$B$2:$B$5,0))*$F108/SUMIFS($F:$F,$E:$E,$E108,$B:$B,$B108,O:O,1)*IF(B108=$B$10,0.9,1),0)</f>
        <v>250</v>
      </c>
      <c r="Q108" s="24">
        <f t="shared" ref="Q108:U108" si="435">IF($L108&lt;=Q$8,1,0)</f>
        <v>1</v>
      </c>
      <c r="R108" s="24">
        <f>ROUND(INDEX($C$2:$C$5,MATCH($E108,$B$2:$B$5,0))*$I108/SUMIFS($I:$I,$E:$E,$E108,$B:$B,$B108,Q:Q,1)*IF(B108=$B$10,0.9,1),0)</f>
        <v>300</v>
      </c>
      <c r="S108" s="24">
        <f t="shared" si="435"/>
        <v>1</v>
      </c>
      <c r="T108" s="24">
        <f>ROUND(INDEX($C$2:$C$5,MATCH($E108,$B$2:$B$5,0))*$J108/SUMIFS($J:$J,$E:$E,$E108,$B:$B,$B108,S:S,1)*IF(B108=$B$10,0.9,1),0)</f>
        <v>300</v>
      </c>
      <c r="U108" s="24">
        <f t="shared" si="435"/>
        <v>1</v>
      </c>
      <c r="V108" s="24">
        <f>ROUND(INDEX($C$2:$C$5,MATCH($E108,$B$2:$B$5,0))*$K108/SUMIFS($K:$K,$E:$E,$E108,$B:$B,$B108,U:U,1)*IF(B108=$B$10,0.9,1),0)</f>
        <v>300</v>
      </c>
      <c r="W108" s="24">
        <f t="shared" ref="W108:AA108" si="436">IF($L108&lt;=W$8,1,0)</f>
        <v>1</v>
      </c>
      <c r="X108" s="24">
        <f>ROUND(INDEX($C$2:$C$5,MATCH($E108,$B$2:$B$5,0))*$F108/SUMIFS($F:$F,$E:$E,$E108,$B:$B,$B108,W:W,1)*IF(B108=$B$10,0.9,1),0)</f>
        <v>250</v>
      </c>
      <c r="Y108" s="24">
        <f t="shared" si="436"/>
        <v>1</v>
      </c>
      <c r="Z108" s="24">
        <f>ROUND(INDEX($C$2:$C$5,MATCH($E108,$B$2:$B$5,0))*$G108/SUMIFS($G:$G,$E:$E,$E108,$B:$B,$B108,Y:Y,1)*IF(B108=$B$10,0.9,1),0)</f>
        <v>250</v>
      </c>
      <c r="AA108" s="24">
        <f t="shared" si="436"/>
        <v>1</v>
      </c>
      <c r="AB108" s="24">
        <f>ROUND(INDEX($C$2:$C$5,MATCH($E108,$B$2:$B$5,0))*$H108/SUMIFS($H:$H,$E:$E,$E108,$B:$B,$B108,AA:AA,1)*IF(B108=$B$10,0.9,1),0)</f>
        <v>250</v>
      </c>
      <c r="AC108" s="24">
        <f t="shared" ref="AC108:AG108" si="437">IF($L108&lt;=AC$8,1,0)</f>
        <v>1</v>
      </c>
      <c r="AD108" s="24">
        <f>ROUND(INDEX($C$2:$C$5,MATCH($E108,$B$2:$B$5,0))*$F108/SUMIFS($F:$F,$E:$E,$E108,$B:$B,$B108,AC:AC,1)*IF(B108=$B$10,0.9,1),0)</f>
        <v>250</v>
      </c>
      <c r="AE108" s="24">
        <f t="shared" si="437"/>
        <v>1</v>
      </c>
      <c r="AF108" s="24">
        <f>ROUND(INDEX($C$2:$C$5,MATCH($E108,$B$2:$B$5,0))*$G108/SUMIFS($G:$G,$E:$E,$E108,$B:$B,$B108,AE:AE,1)*IF(B108=$B$10,0.9,1),0)</f>
        <v>250</v>
      </c>
      <c r="AG108" s="24">
        <f t="shared" si="437"/>
        <v>1</v>
      </c>
      <c r="AH108" s="24">
        <f>ROUND(INDEX($C$2:$C$5,MATCH($E108,$B$2:$B$5,0))*$H108/SUMIFS($H:$H,$E:$E,$E108,$B:$B,$B108,AG:AG,1)*IF(B108=$B$10,0.9,1),0)</f>
        <v>250</v>
      </c>
      <c r="AI108" s="24">
        <f t="shared" ref="AI108:AM108" si="438">IF($L108&lt;=AI$8,1,0)</f>
        <v>1</v>
      </c>
      <c r="AJ108" s="24">
        <f>ROUND(INDEX($C$2:$C$5,MATCH($E108,$B$2:$B$5,0))*$F108/SUMIFS($F:$F,$E:$E,$E108,$B:$B,$B108,AI:AI,1)*IF(B108=$B$10,0.9,1),0)</f>
        <v>250</v>
      </c>
      <c r="AK108" s="24">
        <f t="shared" si="438"/>
        <v>1</v>
      </c>
      <c r="AL108" s="24">
        <f>ROUND(INDEX($C$2:$C$5,MATCH($E108,$B$2:$B$5,0))*$G108/SUMIFS($G:$G,$E:$E,$E108,$B:$B,$B108,AK:AK,1)*IF(B108=$B$10,0.9,1),0)</f>
        <v>250</v>
      </c>
      <c r="AM108" s="24">
        <f t="shared" si="438"/>
        <v>1</v>
      </c>
      <c r="AN108" s="24">
        <f>ROUND(INDEX($C$2:$C$5,MATCH($E108,$B$2:$B$5,0))*$H108/SUMIFS($H:$H,$E:$E,$E108,$B:$B,$B108,AM:AM,1)*IF(B108=$B$10,0.9,1),0)</f>
        <v>250</v>
      </c>
      <c r="AX108" s="4" t="str">
        <f t="shared" si="288"/>
        <v>1,250</v>
      </c>
      <c r="AY108" s="4" t="str">
        <f t="shared" si="289"/>
        <v>1,300</v>
      </c>
      <c r="AZ108" s="4" t="str">
        <f t="shared" si="290"/>
        <v>1,300</v>
      </c>
      <c r="BA108" s="4" t="str">
        <f t="shared" si="291"/>
        <v>1,300</v>
      </c>
      <c r="BB108" s="4" t="str">
        <f t="shared" si="292"/>
        <v>1,250</v>
      </c>
      <c r="BC108" s="4" t="str">
        <f t="shared" si="293"/>
        <v>1,250</v>
      </c>
      <c r="BD108" s="4" t="str">
        <f t="shared" si="294"/>
        <v>1,250</v>
      </c>
      <c r="BE108" s="4" t="str">
        <f t="shared" si="295"/>
        <v>1,250</v>
      </c>
      <c r="BF108" s="4" t="str">
        <f t="shared" si="296"/>
        <v>1,250</v>
      </c>
      <c r="BG108" s="4" t="str">
        <f t="shared" si="297"/>
        <v>1,250</v>
      </c>
      <c r="BH108" s="4" t="str">
        <f t="shared" si="298"/>
        <v>1,250</v>
      </c>
      <c r="BI108" s="4" t="str">
        <f t="shared" si="299"/>
        <v>1,250</v>
      </c>
      <c r="BJ108" s="4" t="str">
        <f t="shared" si="300"/>
        <v>1,250</v>
      </c>
    </row>
    <row r="109" customHeight="1" spans="1:62">
      <c r="A109" s="35">
        <v>642</v>
      </c>
      <c r="B109" s="40" t="s">
        <v>63</v>
      </c>
      <c r="C109" s="40" t="s">
        <v>218</v>
      </c>
      <c r="D109" s="46" t="s">
        <v>66</v>
      </c>
      <c r="E109" s="45">
        <v>3</v>
      </c>
      <c r="F109" s="35">
        <v>1</v>
      </c>
      <c r="G109" s="35">
        <f t="shared" si="301"/>
        <v>1</v>
      </c>
      <c r="H109" s="35">
        <v>1</v>
      </c>
      <c r="I109" s="35">
        <v>1</v>
      </c>
      <c r="J109" s="35">
        <v>1</v>
      </c>
      <c r="K109" s="35">
        <v>1</v>
      </c>
      <c r="L109" s="35">
        <v>2</v>
      </c>
      <c r="M109" s="35"/>
      <c r="N109">
        <f t="shared" si="302"/>
        <v>1500</v>
      </c>
      <c r="O109" s="35">
        <v>1</v>
      </c>
      <c r="P109" s="24">
        <f>ROUND(INDEX($C$2:$C$5,MATCH($E109,$B$2:$B$5,0))*$F109/SUMIFS($F:$F,$E:$E,$E109,$B:$B,$B109,O:O,1)*IF(B109=$B$10,0.9,1),0)</f>
        <v>250</v>
      </c>
      <c r="Q109" s="24">
        <f t="shared" ref="Q109:U109" si="439">IF($L109&lt;=Q$8,1,0)</f>
        <v>0</v>
      </c>
      <c r="R109" s="24">
        <f>ROUND(INDEX($C$2:$C$5,MATCH($E109,$B$2:$B$5,0))*$I109/SUMIFS($I:$I,$E:$E,$E109,$B:$B,$B109,Q:Q,1)*IF(B109=$B$10,0.9,1),0)</f>
        <v>300</v>
      </c>
      <c r="S109" s="24">
        <f t="shared" si="439"/>
        <v>0</v>
      </c>
      <c r="T109" s="24">
        <f>ROUND(INDEX($C$2:$C$5,MATCH($E109,$B$2:$B$5,0))*$J109/SUMIFS($J:$J,$E:$E,$E109,$B:$B,$B109,S:S,1)*IF(B109=$B$10,0.9,1),0)</f>
        <v>300</v>
      </c>
      <c r="U109" s="24">
        <f t="shared" si="439"/>
        <v>0</v>
      </c>
      <c r="V109" s="24">
        <f>ROUND(INDEX($C$2:$C$5,MATCH($E109,$B$2:$B$5,0))*$K109/SUMIFS($K:$K,$E:$E,$E109,$B:$B,$B109,U:U,1)*IF(B109=$B$10,0.9,1),0)</f>
        <v>300</v>
      </c>
      <c r="W109" s="24">
        <f t="shared" ref="W109:AA109" si="440">IF($L109&lt;=W$8,1,0)</f>
        <v>1</v>
      </c>
      <c r="X109" s="24">
        <f>ROUND(INDEX($C$2:$C$5,MATCH($E109,$B$2:$B$5,0))*$F109/SUMIFS($F:$F,$E:$E,$E109,$B:$B,$B109,W:W,1)*IF(B109=$B$10,0.9,1),0)</f>
        <v>250</v>
      </c>
      <c r="Y109" s="24">
        <f t="shared" si="440"/>
        <v>1</v>
      </c>
      <c r="Z109" s="24">
        <f>ROUND(INDEX($C$2:$C$5,MATCH($E109,$B$2:$B$5,0))*$G109/SUMIFS($G:$G,$E:$E,$E109,$B:$B,$B109,Y:Y,1)*IF(B109=$B$10,0.9,1),0)</f>
        <v>250</v>
      </c>
      <c r="AA109" s="24">
        <f t="shared" si="440"/>
        <v>1</v>
      </c>
      <c r="AB109" s="24">
        <f>ROUND(INDEX($C$2:$C$5,MATCH($E109,$B$2:$B$5,0))*$H109/SUMIFS($H:$H,$E:$E,$E109,$B:$B,$B109,AA:AA,1)*IF(B109=$B$10,0.9,1),0)</f>
        <v>250</v>
      </c>
      <c r="AC109" s="24">
        <f t="shared" ref="AC109:AG109" si="441">IF($L109&lt;=AC$8,1,0)</f>
        <v>1</v>
      </c>
      <c r="AD109" s="24">
        <f>ROUND(INDEX($C$2:$C$5,MATCH($E109,$B$2:$B$5,0))*$F109/SUMIFS($F:$F,$E:$E,$E109,$B:$B,$B109,AC:AC,1)*IF(B109=$B$10,0.9,1),0)</f>
        <v>250</v>
      </c>
      <c r="AE109" s="24">
        <f t="shared" si="441"/>
        <v>1</v>
      </c>
      <c r="AF109" s="24">
        <f>ROUND(INDEX($C$2:$C$5,MATCH($E109,$B$2:$B$5,0))*$G109/SUMIFS($G:$G,$E:$E,$E109,$B:$B,$B109,AE:AE,1)*IF(B109=$B$10,0.9,1),0)</f>
        <v>250</v>
      </c>
      <c r="AG109" s="24">
        <f t="shared" si="441"/>
        <v>1</v>
      </c>
      <c r="AH109" s="24">
        <f>ROUND(INDEX($C$2:$C$5,MATCH($E109,$B$2:$B$5,0))*$H109/SUMIFS($H:$H,$E:$E,$E109,$B:$B,$B109,AG:AG,1)*IF(B109=$B$10,0.9,1),0)</f>
        <v>250</v>
      </c>
      <c r="AI109" s="24">
        <f t="shared" ref="AI109:AM109" si="442">IF($L109&lt;=AI$8,1,0)</f>
        <v>1</v>
      </c>
      <c r="AJ109" s="24">
        <f>ROUND(INDEX($C$2:$C$5,MATCH($E109,$B$2:$B$5,0))*$F109/SUMIFS($F:$F,$E:$E,$E109,$B:$B,$B109,AI:AI,1)*IF(B109=$B$10,0.9,1),0)</f>
        <v>250</v>
      </c>
      <c r="AK109" s="24">
        <f t="shared" si="442"/>
        <v>1</v>
      </c>
      <c r="AL109" s="24">
        <f>ROUND(INDEX($C$2:$C$5,MATCH($E109,$B$2:$B$5,0))*$G109/SUMIFS($G:$G,$E:$E,$E109,$B:$B,$B109,AK:AK,1)*IF(B109=$B$10,0.9,1),0)</f>
        <v>250</v>
      </c>
      <c r="AM109" s="24">
        <f t="shared" si="442"/>
        <v>1</v>
      </c>
      <c r="AN109" s="24">
        <f>ROUND(INDEX($C$2:$C$5,MATCH($E109,$B$2:$B$5,0))*$H109/SUMIFS($H:$H,$E:$E,$E109,$B:$B,$B109,AM:AM,1)*IF(B109=$B$10,0.9,1),0)</f>
        <v>250</v>
      </c>
      <c r="AX109" s="4" t="str">
        <f t="shared" si="288"/>
        <v>1,250</v>
      </c>
      <c r="AY109" s="4" t="str">
        <f t="shared" si="289"/>
        <v>0,300</v>
      </c>
      <c r="AZ109" s="4" t="str">
        <f t="shared" si="290"/>
        <v>0,300</v>
      </c>
      <c r="BA109" s="4" t="str">
        <f t="shared" si="291"/>
        <v>0,300</v>
      </c>
      <c r="BB109" s="4" t="str">
        <f t="shared" si="292"/>
        <v>1,250</v>
      </c>
      <c r="BC109" s="4" t="str">
        <f t="shared" si="293"/>
        <v>1,250</v>
      </c>
      <c r="BD109" s="4" t="str">
        <f t="shared" si="294"/>
        <v>1,250</v>
      </c>
      <c r="BE109" s="4" t="str">
        <f t="shared" si="295"/>
        <v>1,250</v>
      </c>
      <c r="BF109" s="4" t="str">
        <f t="shared" si="296"/>
        <v>1,250</v>
      </c>
      <c r="BG109" s="4" t="str">
        <f t="shared" si="297"/>
        <v>1,250</v>
      </c>
      <c r="BH109" s="4" t="str">
        <f t="shared" si="298"/>
        <v>1,250</v>
      </c>
      <c r="BI109" s="4" t="str">
        <f t="shared" si="299"/>
        <v>1,250</v>
      </c>
      <c r="BJ109" s="4" t="str">
        <f t="shared" si="300"/>
        <v>1,250</v>
      </c>
    </row>
    <row r="110" customHeight="1" spans="1:62">
      <c r="A110" s="35">
        <v>651</v>
      </c>
      <c r="B110" s="40" t="s">
        <v>63</v>
      </c>
      <c r="C110" s="40" t="s">
        <v>218</v>
      </c>
      <c r="D110" s="47" t="s">
        <v>383</v>
      </c>
      <c r="E110" s="50">
        <v>4</v>
      </c>
      <c r="F110" s="35">
        <v>1</v>
      </c>
      <c r="G110" s="35">
        <f t="shared" si="301"/>
        <v>1</v>
      </c>
      <c r="H110" s="35">
        <v>1</v>
      </c>
      <c r="I110" s="35">
        <v>1</v>
      </c>
      <c r="J110" s="35">
        <v>1</v>
      </c>
      <c r="K110" s="35">
        <v>1</v>
      </c>
      <c r="L110" s="35">
        <v>1</v>
      </c>
      <c r="M110" s="35"/>
      <c r="N110">
        <f t="shared" si="302"/>
        <v>500</v>
      </c>
      <c r="O110" s="35">
        <v>1</v>
      </c>
      <c r="P110" s="24">
        <f>ROUND(INDEX($C$2:$C$5,MATCH($E110,$B$2:$B$5,0))*$F110/SUMIFS($F:$F,$E:$E,$E110,$B:$B,$B110,O:O,1)*IF(B110=$B$10,0.9,1),0)</f>
        <v>250</v>
      </c>
      <c r="Q110" s="24">
        <f t="shared" ref="Q110:U110" si="443">IF($L110&lt;=Q$8,1,0)</f>
        <v>1</v>
      </c>
      <c r="R110" s="24">
        <f>ROUND(INDEX($C$2:$C$5,MATCH($E110,$B$2:$B$5,0))*$I110/SUMIFS($I:$I,$E:$E,$E110,$B:$B,$B110,Q:Q,1)*IF(B110=$B$10,0.9,1),0)</f>
        <v>500</v>
      </c>
      <c r="S110" s="24">
        <f t="shared" si="443"/>
        <v>1</v>
      </c>
      <c r="T110" s="24">
        <f>ROUND(INDEX($C$2:$C$5,MATCH($E110,$B$2:$B$5,0))*$J110/SUMIFS($J:$J,$E:$E,$E110,$B:$B,$B110,S:S,1)*IF(B110=$B$10,0.9,1),0)</f>
        <v>500</v>
      </c>
      <c r="U110" s="24">
        <f t="shared" si="443"/>
        <v>1</v>
      </c>
      <c r="V110" s="24">
        <f>ROUND(INDEX($C$2:$C$5,MATCH($E110,$B$2:$B$5,0))*$K110/SUMIFS($K:$K,$E:$E,$E110,$B:$B,$B110,U:U,1)*IF(B110=$B$10,0.9,1),0)</f>
        <v>500</v>
      </c>
      <c r="W110" s="24">
        <f t="shared" ref="W110:AA110" si="444">IF($L110&lt;=W$8,1,0)</f>
        <v>1</v>
      </c>
      <c r="X110" s="24">
        <f>ROUND(INDEX($C$2:$C$5,MATCH($E110,$B$2:$B$5,0))*$F110/SUMIFS($F:$F,$E:$E,$E110,$B:$B,$B110,W:W,1)*IF(B110=$B$10,0.9,1),0)</f>
        <v>500</v>
      </c>
      <c r="Y110" s="24">
        <f t="shared" si="444"/>
        <v>1</v>
      </c>
      <c r="Z110" s="24">
        <f>ROUND(INDEX($C$2:$C$5,MATCH($E110,$B$2:$B$5,0))*$G110/SUMIFS($G:$G,$E:$E,$E110,$B:$B,$B110,Y:Y,1)*IF(B110=$B$10,0.9,1),0)</f>
        <v>500</v>
      </c>
      <c r="AA110" s="24">
        <f t="shared" si="444"/>
        <v>1</v>
      </c>
      <c r="AB110" s="24">
        <f>ROUND(INDEX($C$2:$C$5,MATCH($E110,$B$2:$B$5,0))*$H110/SUMIFS($H:$H,$E:$E,$E110,$B:$B,$B110,AA:AA,1)*IF(B110=$B$10,0.9,1),0)</f>
        <v>500</v>
      </c>
      <c r="AC110" s="24">
        <f t="shared" ref="AC110:AG110" si="445">IF($L110&lt;=AC$8,1,0)</f>
        <v>1</v>
      </c>
      <c r="AD110" s="24">
        <f>ROUND(INDEX($C$2:$C$5,MATCH($E110,$B$2:$B$5,0))*$F110/SUMIFS($F:$F,$E:$E,$E110,$B:$B,$B110,AC:AC,1)*IF(B110=$B$10,0.9,1),0)</f>
        <v>250</v>
      </c>
      <c r="AE110" s="24">
        <f t="shared" si="445"/>
        <v>1</v>
      </c>
      <c r="AF110" s="24">
        <f>ROUND(INDEX($C$2:$C$5,MATCH($E110,$B$2:$B$5,0))*$G110/SUMIFS($G:$G,$E:$E,$E110,$B:$B,$B110,AE:AE,1)*IF(B110=$B$10,0.9,1),0)</f>
        <v>250</v>
      </c>
      <c r="AG110" s="24">
        <f t="shared" si="445"/>
        <v>1</v>
      </c>
      <c r="AH110" s="24">
        <f>ROUND(INDEX($C$2:$C$5,MATCH($E110,$B$2:$B$5,0))*$H110/SUMIFS($H:$H,$E:$E,$E110,$B:$B,$B110,AG:AG,1)*IF(B110=$B$10,0.9,1),0)</f>
        <v>250</v>
      </c>
      <c r="AI110" s="24">
        <f t="shared" ref="AI110:AM110" si="446">IF($L110&lt;=AI$8,1,0)</f>
        <v>1</v>
      </c>
      <c r="AJ110" s="24">
        <f>ROUND(INDEX($C$2:$C$5,MATCH($E110,$B$2:$B$5,0))*$F110/SUMIFS($F:$F,$E:$E,$E110,$B:$B,$B110,AI:AI,1)*IF(B110=$B$10,0.9,1),0)</f>
        <v>250</v>
      </c>
      <c r="AK110" s="24">
        <f t="shared" si="446"/>
        <v>1</v>
      </c>
      <c r="AL110" s="24">
        <f>ROUND(INDEX($C$2:$C$5,MATCH($E110,$B$2:$B$5,0))*$G110/SUMIFS($G:$G,$E:$E,$E110,$B:$B,$B110,AK:AK,1)*IF(B110=$B$10,0.9,1),0)</f>
        <v>250</v>
      </c>
      <c r="AM110" s="24">
        <f t="shared" si="446"/>
        <v>1</v>
      </c>
      <c r="AN110" s="24">
        <f>ROUND(INDEX($C$2:$C$5,MATCH($E110,$B$2:$B$5,0))*$H110/SUMIFS($H:$H,$E:$E,$E110,$B:$B,$B110,AM:AM,1)*IF(B110=$B$10,0.9,1),0)</f>
        <v>250</v>
      </c>
      <c r="AX110" s="4" t="str">
        <f t="shared" si="288"/>
        <v>1,250</v>
      </c>
      <c r="AY110" s="4" t="str">
        <f t="shared" si="289"/>
        <v>1,500</v>
      </c>
      <c r="AZ110" s="4" t="str">
        <f t="shared" si="290"/>
        <v>1,500</v>
      </c>
      <c r="BA110" s="4" t="str">
        <f t="shared" si="291"/>
        <v>1,500</v>
      </c>
      <c r="BB110" s="4" t="str">
        <f t="shared" si="292"/>
        <v>1,500</v>
      </c>
      <c r="BC110" s="4" t="str">
        <f t="shared" si="293"/>
        <v>1,500</v>
      </c>
      <c r="BD110" s="4" t="str">
        <f t="shared" si="294"/>
        <v>1,500</v>
      </c>
      <c r="BE110" s="4" t="str">
        <f t="shared" si="295"/>
        <v>1,250</v>
      </c>
      <c r="BF110" s="4" t="str">
        <f t="shared" si="296"/>
        <v>1,250</v>
      </c>
      <c r="BG110" s="4" t="str">
        <f t="shared" si="297"/>
        <v>1,250</v>
      </c>
      <c r="BH110" s="4" t="str">
        <f t="shared" si="298"/>
        <v>1,250</v>
      </c>
      <c r="BI110" s="4" t="str">
        <f t="shared" si="299"/>
        <v>1,250</v>
      </c>
      <c r="BJ110" s="4" t="str">
        <f t="shared" si="300"/>
        <v>1,250</v>
      </c>
    </row>
    <row r="111" customHeight="1" spans="1:62">
      <c r="A111" s="35">
        <v>652</v>
      </c>
      <c r="B111" s="40" t="s">
        <v>63</v>
      </c>
      <c r="C111" s="40" t="s">
        <v>218</v>
      </c>
      <c r="D111" s="48" t="s">
        <v>389</v>
      </c>
      <c r="E111" s="50">
        <v>4</v>
      </c>
      <c r="F111" s="35">
        <v>1</v>
      </c>
      <c r="G111" s="35">
        <f t="shared" si="301"/>
        <v>1</v>
      </c>
      <c r="H111" s="35">
        <v>1</v>
      </c>
      <c r="I111" s="35">
        <v>1</v>
      </c>
      <c r="J111" s="35">
        <v>1</v>
      </c>
      <c r="K111" s="35">
        <v>1</v>
      </c>
      <c r="L111" s="35">
        <v>3</v>
      </c>
      <c r="M111" s="35"/>
      <c r="N111">
        <f t="shared" si="302"/>
        <v>500</v>
      </c>
      <c r="O111" s="35">
        <v>1</v>
      </c>
      <c r="P111" s="24">
        <f>ROUND(INDEX($C$2:$C$5,MATCH($E111,$B$2:$B$5,0))*$F111/SUMIFS($F:$F,$E:$E,$E111,$B:$B,$B111,O:O,1)*IF(B111=$B$10,0.9,1),0)</f>
        <v>250</v>
      </c>
      <c r="Q111" s="24">
        <f t="shared" ref="Q111:U111" si="447">IF($L111&lt;=Q$8,1,0)</f>
        <v>0</v>
      </c>
      <c r="R111" s="24">
        <f>ROUND(INDEX($C$2:$C$5,MATCH($E111,$B$2:$B$5,0))*$I111/SUMIFS($I:$I,$E:$E,$E111,$B:$B,$B111,Q:Q,1)*IF(B111=$B$10,0.9,1),0)</f>
        <v>500</v>
      </c>
      <c r="S111" s="24">
        <f t="shared" si="447"/>
        <v>0</v>
      </c>
      <c r="T111" s="24">
        <f>ROUND(INDEX($C$2:$C$5,MATCH($E111,$B$2:$B$5,0))*$J111/SUMIFS($J:$J,$E:$E,$E111,$B:$B,$B111,S:S,1)*IF(B111=$B$10,0.9,1),0)</f>
        <v>500</v>
      </c>
      <c r="U111" s="24">
        <f t="shared" si="447"/>
        <v>0</v>
      </c>
      <c r="V111" s="24">
        <f>ROUND(INDEX($C$2:$C$5,MATCH($E111,$B$2:$B$5,0))*$K111/SUMIFS($K:$K,$E:$E,$E111,$B:$B,$B111,U:U,1)*IF(B111=$B$10,0.9,1),0)</f>
        <v>500</v>
      </c>
      <c r="W111" s="24">
        <f t="shared" ref="W111:AA111" si="448">IF($L111&lt;=W$8,1,0)</f>
        <v>0</v>
      </c>
      <c r="X111" s="24">
        <f>ROUND(INDEX($C$2:$C$5,MATCH($E111,$B$2:$B$5,0))*$F111/SUMIFS($F:$F,$E:$E,$E111,$B:$B,$B111,W:W,1)*IF(B111=$B$10,0.9,1),0)</f>
        <v>500</v>
      </c>
      <c r="Y111" s="24">
        <f t="shared" si="448"/>
        <v>0</v>
      </c>
      <c r="Z111" s="24">
        <f>ROUND(INDEX($C$2:$C$5,MATCH($E111,$B$2:$B$5,0))*$G111/SUMIFS($G:$G,$E:$E,$E111,$B:$B,$B111,Y:Y,1)*IF(B111=$B$10,0.9,1),0)</f>
        <v>500</v>
      </c>
      <c r="AA111" s="24">
        <f t="shared" si="448"/>
        <v>0</v>
      </c>
      <c r="AB111" s="24">
        <f>ROUND(INDEX($C$2:$C$5,MATCH($E111,$B$2:$B$5,0))*$H111/SUMIFS($H:$H,$E:$E,$E111,$B:$B,$B111,AA:AA,1)*IF(B111=$B$10,0.9,1),0)</f>
        <v>500</v>
      </c>
      <c r="AC111" s="24">
        <f t="shared" ref="AC111:AG111" si="449">IF($L111&lt;=AC$8,1,0)</f>
        <v>1</v>
      </c>
      <c r="AD111" s="24">
        <f>ROUND(INDEX($C$2:$C$5,MATCH($E111,$B$2:$B$5,0))*$F111/SUMIFS($F:$F,$E:$E,$E111,$B:$B,$B111,AC:AC,1)*IF(B111=$B$10,0.9,1),0)</f>
        <v>250</v>
      </c>
      <c r="AE111" s="24">
        <f t="shared" si="449"/>
        <v>1</v>
      </c>
      <c r="AF111" s="24">
        <f>ROUND(INDEX($C$2:$C$5,MATCH($E111,$B$2:$B$5,0))*$G111/SUMIFS($G:$G,$E:$E,$E111,$B:$B,$B111,AE:AE,1)*IF(B111=$B$10,0.9,1),0)</f>
        <v>250</v>
      </c>
      <c r="AG111" s="24">
        <f t="shared" si="449"/>
        <v>1</v>
      </c>
      <c r="AH111" s="24">
        <f>ROUND(INDEX($C$2:$C$5,MATCH($E111,$B$2:$B$5,0))*$H111/SUMIFS($H:$H,$E:$E,$E111,$B:$B,$B111,AG:AG,1)*IF(B111=$B$10,0.9,1),0)</f>
        <v>250</v>
      </c>
      <c r="AI111" s="24">
        <f t="shared" ref="AI111:AM111" si="450">IF($L111&lt;=AI$8,1,0)</f>
        <v>1</v>
      </c>
      <c r="AJ111" s="24">
        <f>ROUND(INDEX($C$2:$C$5,MATCH($E111,$B$2:$B$5,0))*$F111/SUMIFS($F:$F,$E:$E,$E111,$B:$B,$B111,AI:AI,1)*IF(B111=$B$10,0.9,1),0)</f>
        <v>250</v>
      </c>
      <c r="AK111" s="24">
        <f t="shared" si="450"/>
        <v>1</v>
      </c>
      <c r="AL111" s="24">
        <f>ROUND(INDEX($C$2:$C$5,MATCH($E111,$B$2:$B$5,0))*$G111/SUMIFS($G:$G,$E:$E,$E111,$B:$B,$B111,AK:AK,1)*IF(B111=$B$10,0.9,1),0)</f>
        <v>250</v>
      </c>
      <c r="AM111" s="24">
        <f t="shared" si="450"/>
        <v>1</v>
      </c>
      <c r="AN111" s="24">
        <f>ROUND(INDEX($C$2:$C$5,MATCH($E111,$B$2:$B$5,0))*$H111/SUMIFS($H:$H,$E:$E,$E111,$B:$B,$B111,AM:AM,1)*IF(B111=$B$10,0.9,1),0)</f>
        <v>250</v>
      </c>
      <c r="AX111" s="4" t="str">
        <f t="shared" si="288"/>
        <v>1,250</v>
      </c>
      <c r="AY111" s="4" t="str">
        <f t="shared" si="289"/>
        <v>0,500</v>
      </c>
      <c r="AZ111" s="4" t="str">
        <f t="shared" si="290"/>
        <v>0,500</v>
      </c>
      <c r="BA111" s="4" t="str">
        <f t="shared" si="291"/>
        <v>0,500</v>
      </c>
      <c r="BB111" s="4" t="str">
        <f t="shared" si="292"/>
        <v>0,500</v>
      </c>
      <c r="BC111" s="4" t="str">
        <f t="shared" si="293"/>
        <v>0,500</v>
      </c>
      <c r="BD111" s="4" t="str">
        <f t="shared" si="294"/>
        <v>0,500</v>
      </c>
      <c r="BE111" s="4" t="str">
        <f t="shared" si="295"/>
        <v>1,250</v>
      </c>
      <c r="BF111" s="4" t="str">
        <f t="shared" si="296"/>
        <v>1,250</v>
      </c>
      <c r="BG111" s="4" t="str">
        <f t="shared" si="297"/>
        <v>1,250</v>
      </c>
      <c r="BH111" s="4" t="str">
        <f t="shared" si="298"/>
        <v>1,250</v>
      </c>
      <c r="BI111" s="4" t="str">
        <f t="shared" si="299"/>
        <v>1,250</v>
      </c>
      <c r="BJ111" s="4" t="str">
        <f t="shared" si="300"/>
        <v>1,250</v>
      </c>
    </row>
    <row r="112" customHeight="1" spans="1:62">
      <c r="A112" s="35">
        <v>701</v>
      </c>
      <c r="B112" s="40" t="s">
        <v>69</v>
      </c>
      <c r="C112" s="40"/>
      <c r="D112" s="41" t="s">
        <v>356</v>
      </c>
      <c r="E112" s="35">
        <v>1</v>
      </c>
      <c r="F112" s="35">
        <v>1</v>
      </c>
      <c r="G112" s="35">
        <f t="shared" si="301"/>
        <v>1</v>
      </c>
      <c r="H112" s="35">
        <v>1</v>
      </c>
      <c r="I112" s="35">
        <v>1</v>
      </c>
      <c r="J112" s="35">
        <v>1</v>
      </c>
      <c r="K112" s="35">
        <v>1</v>
      </c>
      <c r="L112" s="35">
        <v>1</v>
      </c>
      <c r="M112" s="35"/>
      <c r="N112">
        <f t="shared" si="302"/>
        <v>13500</v>
      </c>
      <c r="O112" s="35">
        <v>1</v>
      </c>
      <c r="P112" s="24">
        <f>ROUND(INDEX($C$2:$C$5,MATCH($E112,$B$2:$B$5,0))*$F112/SUMIFS($F:$F,$E:$E,$E112,$B:$B,$B112,O:O,1)*IF(B112=$B$10,0.9,1),0)</f>
        <v>6750</v>
      </c>
      <c r="Q112" s="24">
        <f t="shared" ref="Q112:U112" si="451">IF($L112&lt;=Q$8,1,0)</f>
        <v>1</v>
      </c>
      <c r="R112" s="24">
        <f>ROUND(INDEX($C$2:$C$5,MATCH($E112,$B$2:$B$5,0))*$I112/SUMIFS($I:$I,$E:$E,$E112,$B:$B,$B112,Q:Q,1)*IF(B112=$B$10,0.9,1),0)</f>
        <v>6750</v>
      </c>
      <c r="S112" s="24">
        <f t="shared" si="451"/>
        <v>1</v>
      </c>
      <c r="T112" s="24">
        <f>ROUND(INDEX($C$2:$C$5,MATCH($E112,$B$2:$B$5,0))*$J112/SUMIFS($J:$J,$E:$E,$E112,$B:$B,$B112,S:S,1)*IF(B112=$B$10,0.9,1),0)</f>
        <v>6750</v>
      </c>
      <c r="U112" s="24">
        <f t="shared" si="451"/>
        <v>1</v>
      </c>
      <c r="V112" s="24">
        <f>ROUND(INDEX($C$2:$C$5,MATCH($E112,$B$2:$B$5,0))*$K112/SUMIFS($K:$K,$E:$E,$E112,$B:$B,$B112,U:U,1)*IF(B112=$B$10,0.9,1),0)</f>
        <v>6750</v>
      </c>
      <c r="W112" s="24">
        <f t="shared" ref="W112:AA112" si="452">IF($L112&lt;=W$8,1,0)</f>
        <v>1</v>
      </c>
      <c r="X112" s="24">
        <f>ROUND(INDEX($C$2:$C$5,MATCH($E112,$B$2:$B$5,0))*$F112/SUMIFS($F:$F,$E:$E,$E112,$B:$B,$B112,W:W,1)*IF(B112=$B$10,0.9,1),0)</f>
        <v>6750</v>
      </c>
      <c r="Y112" s="24">
        <f t="shared" si="452"/>
        <v>1</v>
      </c>
      <c r="Z112" s="24">
        <f>ROUND(INDEX($C$2:$C$5,MATCH($E112,$B$2:$B$5,0))*$G112/SUMIFS($G:$G,$E:$E,$E112,$B:$B,$B112,Y:Y,1)*IF(B112=$B$10,0.9,1),0)</f>
        <v>6750</v>
      </c>
      <c r="AA112" s="24">
        <f t="shared" si="452"/>
        <v>1</v>
      </c>
      <c r="AB112" s="24">
        <f>ROUND(INDEX($C$2:$C$5,MATCH($E112,$B$2:$B$5,0))*$H112/SUMIFS($H:$H,$E:$E,$E112,$B:$B,$B112,AA:AA,1)*IF(B112=$B$10,0.9,1),0)</f>
        <v>6750</v>
      </c>
      <c r="AC112" s="24">
        <f t="shared" ref="AC112:AG112" si="453">IF($L112&lt;=AC$8,1,0)</f>
        <v>1</v>
      </c>
      <c r="AD112" s="24">
        <f>ROUND(INDEX($C$2:$C$5,MATCH($E112,$B$2:$B$5,0))*$F112/SUMIFS($F:$F,$E:$E,$E112,$B:$B,$B112,AC:AC,1)*IF(B112=$B$10,0.9,1),0)</f>
        <v>6750</v>
      </c>
      <c r="AE112" s="24">
        <f t="shared" si="453"/>
        <v>1</v>
      </c>
      <c r="AF112" s="24">
        <f>ROUND(INDEX($C$2:$C$5,MATCH($E112,$B$2:$B$5,0))*$G112/SUMIFS($G:$G,$E:$E,$E112,$B:$B,$B112,AE:AE,1)*IF(B112=$B$10,0.9,1),0)</f>
        <v>6750</v>
      </c>
      <c r="AG112" s="24">
        <f t="shared" si="453"/>
        <v>1</v>
      </c>
      <c r="AH112" s="24">
        <f>ROUND(INDEX($C$2:$C$5,MATCH($E112,$B$2:$B$5,0))*$H112/SUMIFS($H:$H,$E:$E,$E112,$B:$B,$B112,AG:AG,1)*IF(B112=$B$10,0.9,1),0)</f>
        <v>6750</v>
      </c>
      <c r="AI112" s="24">
        <f t="shared" ref="AI112:AM112" si="454">IF($L112&lt;=AI$8,1,0)</f>
        <v>1</v>
      </c>
      <c r="AJ112" s="24">
        <f>ROUND(INDEX($C$2:$C$5,MATCH($E112,$B$2:$B$5,0))*$F112/SUMIFS($F:$F,$E:$E,$E112,$B:$B,$B112,AI:AI,1)*IF(B112=$B$10,0.9,1),0)</f>
        <v>6750</v>
      </c>
      <c r="AK112" s="24">
        <f t="shared" si="454"/>
        <v>1</v>
      </c>
      <c r="AL112" s="24">
        <f>ROUND(INDEX($C$2:$C$5,MATCH($E112,$B$2:$B$5,0))*$G112/SUMIFS($G:$G,$E:$E,$E112,$B:$B,$B112,AK:AK,1)*IF(B112=$B$10,0.9,1),0)</f>
        <v>6750</v>
      </c>
      <c r="AM112" s="24">
        <f t="shared" si="454"/>
        <v>1</v>
      </c>
      <c r="AN112" s="24">
        <f>ROUND(INDEX($C$2:$C$5,MATCH($E112,$B$2:$B$5,0))*$H112/SUMIFS($H:$H,$E:$E,$E112,$B:$B,$B112,AM:AM,1)*IF(B112=$B$10,0.9,1),0)</f>
        <v>6750</v>
      </c>
      <c r="AX112" s="4" t="str">
        <f t="shared" si="288"/>
        <v>1,6750</v>
      </c>
      <c r="AY112" s="4" t="str">
        <f t="shared" si="289"/>
        <v>1,6750</v>
      </c>
      <c r="AZ112" s="4" t="str">
        <f t="shared" si="290"/>
        <v>1,6750</v>
      </c>
      <c r="BA112" s="4" t="str">
        <f t="shared" si="291"/>
        <v>1,6750</v>
      </c>
      <c r="BB112" s="4" t="str">
        <f t="shared" si="292"/>
        <v>1,6750</v>
      </c>
      <c r="BC112" s="4" t="str">
        <f t="shared" si="293"/>
        <v>1,6750</v>
      </c>
      <c r="BD112" s="4" t="str">
        <f t="shared" si="294"/>
        <v>1,6750</v>
      </c>
      <c r="BE112" s="4" t="str">
        <f t="shared" si="295"/>
        <v>1,6750</v>
      </c>
      <c r="BF112" s="4" t="str">
        <f t="shared" si="296"/>
        <v>1,6750</v>
      </c>
      <c r="BG112" s="4" t="str">
        <f t="shared" si="297"/>
        <v>1,6750</v>
      </c>
      <c r="BH112" s="4" t="str">
        <f t="shared" si="298"/>
        <v>1,6750</v>
      </c>
      <c r="BI112" s="4" t="str">
        <f t="shared" si="299"/>
        <v>1,6750</v>
      </c>
      <c r="BJ112" s="4" t="str">
        <f t="shared" si="300"/>
        <v>1,6750</v>
      </c>
    </row>
    <row r="113" customHeight="1" spans="1:62">
      <c r="A113" s="49">
        <v>702</v>
      </c>
      <c r="B113" s="40" t="s">
        <v>69</v>
      </c>
      <c r="C113" s="40"/>
      <c r="D113" s="41" t="s">
        <v>357</v>
      </c>
      <c r="E113" s="43">
        <v>1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/>
      <c r="N113">
        <f t="shared" si="302"/>
        <v>13500</v>
      </c>
      <c r="O113" s="35">
        <v>1</v>
      </c>
      <c r="P113" s="24">
        <f>ROUND(INDEX($C$2:$C$5,MATCH($E113,$B$2:$B$5,0))*$F113/SUMIFS($F:$F,$E:$E,$E113,$B:$B,$B113,O:O,1)*IF(B113=$B$10,0.9,1),0)</f>
        <v>0</v>
      </c>
      <c r="Q113" s="24">
        <f t="shared" ref="Q113:U113" si="455">IF($L113&lt;=Q$8,1,0)</f>
        <v>1</v>
      </c>
      <c r="R113" s="24">
        <f>ROUND(INDEX($C$2:$C$5,MATCH($E113,$B$2:$B$5,0))*$I113/SUMIFS($I:$I,$E:$E,$E113,$B:$B,$B113,Q:Q,1)*IF(B113=$B$10,0.9,1),0)</f>
        <v>0</v>
      </c>
      <c r="S113" s="24">
        <f t="shared" si="455"/>
        <v>1</v>
      </c>
      <c r="T113" s="24">
        <f>ROUND(INDEX($C$2:$C$5,MATCH($E113,$B$2:$B$5,0))*$J113/SUMIFS($J:$J,$E:$E,$E113,$B:$B,$B113,S:S,1)*IF(B113=$B$10,0.9,1),0)</f>
        <v>0</v>
      </c>
      <c r="U113" s="24">
        <f t="shared" si="455"/>
        <v>1</v>
      </c>
      <c r="V113" s="24">
        <f>ROUND(INDEX($C$2:$C$5,MATCH($E113,$B$2:$B$5,0))*$K113/SUMIFS($K:$K,$E:$E,$E113,$B:$B,$B113,U:U,1)*IF(B113=$B$10,0.9,1),0)</f>
        <v>0</v>
      </c>
      <c r="W113" s="24">
        <f t="shared" ref="W113:AA113" si="456">IF($L113&lt;=W$8,1,0)</f>
        <v>1</v>
      </c>
      <c r="X113" s="24">
        <f>ROUND(INDEX($C$2:$C$5,MATCH($E113,$B$2:$B$5,0))*$F113/SUMIFS($F:$F,$E:$E,$E113,$B:$B,$B113,W:W,1)*IF(B113=$B$10,0.9,1),0)</f>
        <v>0</v>
      </c>
      <c r="Y113" s="24">
        <f t="shared" si="456"/>
        <v>1</v>
      </c>
      <c r="Z113" s="24">
        <f>ROUND(INDEX($C$2:$C$5,MATCH($E113,$B$2:$B$5,0))*$G113/SUMIFS($G:$G,$E:$E,$E113,$B:$B,$B113,Y:Y,1)*IF(B113=$B$10,0.9,1),0)</f>
        <v>0</v>
      </c>
      <c r="AA113" s="24">
        <f t="shared" si="456"/>
        <v>1</v>
      </c>
      <c r="AB113" s="24">
        <f>ROUND(INDEX($C$2:$C$5,MATCH($E113,$B$2:$B$5,0))*$H113/SUMIFS($H:$H,$E:$E,$E113,$B:$B,$B113,AA:AA,1)*IF(B113=$B$10,0.9,1),0)</f>
        <v>0</v>
      </c>
      <c r="AC113" s="24">
        <f t="shared" ref="AC113:AG113" si="457">IF($L113&lt;=AC$8,1,0)</f>
        <v>1</v>
      </c>
      <c r="AD113" s="24">
        <f>ROUND(INDEX($C$2:$C$5,MATCH($E113,$B$2:$B$5,0))*$F113/SUMIFS($F:$F,$E:$E,$E113,$B:$B,$B113,AC:AC,1)*IF(B113=$B$10,0.9,1),0)</f>
        <v>0</v>
      </c>
      <c r="AE113" s="24">
        <f t="shared" si="457"/>
        <v>1</v>
      </c>
      <c r="AF113" s="24">
        <f>ROUND(INDEX($C$2:$C$5,MATCH($E113,$B$2:$B$5,0))*$G113/SUMIFS($G:$G,$E:$E,$E113,$B:$B,$B113,AE:AE,1)*IF(B113=$B$10,0.9,1),0)</f>
        <v>0</v>
      </c>
      <c r="AG113" s="24">
        <f t="shared" si="457"/>
        <v>1</v>
      </c>
      <c r="AH113" s="24">
        <f>ROUND(INDEX($C$2:$C$5,MATCH($E113,$B$2:$B$5,0))*$H113/SUMIFS($H:$H,$E:$E,$E113,$B:$B,$B113,AG:AG,1)*IF(B113=$B$10,0.9,1),0)</f>
        <v>0</v>
      </c>
      <c r="AI113" s="24">
        <f t="shared" ref="AI113:AM113" si="458">IF($L113&lt;=AI$8,1,0)</f>
        <v>1</v>
      </c>
      <c r="AJ113" s="24">
        <f>ROUND(INDEX($C$2:$C$5,MATCH($E113,$B$2:$B$5,0))*$F113/SUMIFS($F:$F,$E:$E,$E113,$B:$B,$B113,AI:AI,1)*IF(B113=$B$10,0.9,1),0)</f>
        <v>0</v>
      </c>
      <c r="AK113" s="24">
        <f t="shared" si="458"/>
        <v>1</v>
      </c>
      <c r="AL113" s="24">
        <f>ROUND(INDEX($C$2:$C$5,MATCH($E113,$B$2:$B$5,0))*$G113/SUMIFS($G:$G,$E:$E,$E113,$B:$B,$B113,AK:AK,1)*IF(B113=$B$10,0.9,1),0)</f>
        <v>0</v>
      </c>
      <c r="AM113" s="24">
        <f t="shared" si="458"/>
        <v>1</v>
      </c>
      <c r="AN113" s="24">
        <f>ROUND(INDEX($C$2:$C$5,MATCH($E113,$B$2:$B$5,0))*$H113/SUMIFS($H:$H,$E:$E,$E113,$B:$B,$B113,AM:AM,1)*IF(B113=$B$10,0.9,1),0)</f>
        <v>0</v>
      </c>
      <c r="AX113" s="4" t="str">
        <f t="shared" si="288"/>
        <v>1,0</v>
      </c>
      <c r="AY113" s="4" t="str">
        <f t="shared" si="289"/>
        <v>1,0</v>
      </c>
      <c r="AZ113" s="4" t="str">
        <f t="shared" si="290"/>
        <v>1,0</v>
      </c>
      <c r="BA113" s="4" t="str">
        <f t="shared" si="291"/>
        <v>1,0</v>
      </c>
      <c r="BB113" s="4" t="str">
        <f t="shared" si="292"/>
        <v>1,0</v>
      </c>
      <c r="BC113" s="4" t="str">
        <f t="shared" si="293"/>
        <v>1,0</v>
      </c>
      <c r="BD113" s="4" t="str">
        <f t="shared" si="294"/>
        <v>1,0</v>
      </c>
      <c r="BE113" s="4" t="str">
        <f t="shared" si="295"/>
        <v>1,0</v>
      </c>
      <c r="BF113" s="4" t="str">
        <f t="shared" si="296"/>
        <v>1,0</v>
      </c>
      <c r="BG113" s="4" t="str">
        <f t="shared" si="297"/>
        <v>1,0</v>
      </c>
      <c r="BH113" s="4" t="str">
        <f t="shared" si="298"/>
        <v>1,0</v>
      </c>
      <c r="BI113" s="4" t="str">
        <f t="shared" si="299"/>
        <v>1,0</v>
      </c>
      <c r="BJ113" s="4" t="str">
        <f t="shared" si="300"/>
        <v>1,0</v>
      </c>
    </row>
    <row r="114" customHeight="1" spans="1:62">
      <c r="A114" s="35">
        <v>703</v>
      </c>
      <c r="B114" s="40" t="s">
        <v>69</v>
      </c>
      <c r="C114" s="40"/>
      <c r="D114" s="41" t="s">
        <v>361</v>
      </c>
      <c r="E114" s="43">
        <v>1</v>
      </c>
      <c r="F114" s="35">
        <v>1</v>
      </c>
      <c r="G114" s="35">
        <f t="shared" si="301"/>
        <v>1</v>
      </c>
      <c r="H114" s="35">
        <v>1</v>
      </c>
      <c r="I114" s="35">
        <v>1</v>
      </c>
      <c r="J114" s="35">
        <v>1</v>
      </c>
      <c r="K114" s="35">
        <v>1</v>
      </c>
      <c r="L114" s="35">
        <v>1</v>
      </c>
      <c r="M114" s="35" t="s">
        <v>136</v>
      </c>
      <c r="N114">
        <f t="shared" si="302"/>
        <v>13500</v>
      </c>
      <c r="O114" s="35">
        <v>1</v>
      </c>
      <c r="P114" s="24">
        <f>ROUND(INDEX($C$2:$C$5,MATCH($E114,$B$2:$B$5,0))*$F114/SUMIFS($F:$F,$E:$E,$E114,$B:$B,$B114,O:O,1)*IF(B114=$B$10,0.9,1),0)</f>
        <v>6750</v>
      </c>
      <c r="Q114" s="24">
        <f t="shared" ref="Q114:U114" si="459">IF($L114&lt;=Q$8,1,0)</f>
        <v>1</v>
      </c>
      <c r="R114" s="24">
        <f>ROUND(INDEX($C$2:$C$5,MATCH($E114,$B$2:$B$5,0))*$I114/SUMIFS($I:$I,$E:$E,$E114,$B:$B,$B114,Q:Q,1)*IF(B114=$B$10,0.9,1),0)</f>
        <v>6750</v>
      </c>
      <c r="S114" s="24">
        <f t="shared" si="459"/>
        <v>1</v>
      </c>
      <c r="T114" s="24">
        <f>ROUND(INDEX($C$2:$C$5,MATCH($E114,$B$2:$B$5,0))*$J114/SUMIFS($J:$J,$E:$E,$E114,$B:$B,$B114,S:S,1)*IF(B114=$B$10,0.9,1),0)</f>
        <v>6750</v>
      </c>
      <c r="U114" s="24">
        <f t="shared" si="459"/>
        <v>1</v>
      </c>
      <c r="V114" s="24">
        <f>ROUND(INDEX($C$2:$C$5,MATCH($E114,$B$2:$B$5,0))*$K114/SUMIFS($K:$K,$E:$E,$E114,$B:$B,$B114,U:U,1)*IF(B114=$B$10,0.9,1),0)</f>
        <v>6750</v>
      </c>
      <c r="W114" s="24">
        <f t="shared" ref="W114:AA114" si="460">IF($L114&lt;=W$8,1,0)</f>
        <v>1</v>
      </c>
      <c r="X114" s="24">
        <f>ROUND(INDEX($C$2:$C$5,MATCH($E114,$B$2:$B$5,0))*$F114/SUMIFS($F:$F,$E:$E,$E114,$B:$B,$B114,W:W,1)*IF(B114=$B$10,0.9,1),0)</f>
        <v>6750</v>
      </c>
      <c r="Y114" s="24">
        <f t="shared" si="460"/>
        <v>1</v>
      </c>
      <c r="Z114" s="24">
        <f>ROUND(INDEX($C$2:$C$5,MATCH($E114,$B$2:$B$5,0))*$G114/SUMIFS($G:$G,$E:$E,$E114,$B:$B,$B114,Y:Y,1)*IF(B114=$B$10,0.9,1),0)</f>
        <v>6750</v>
      </c>
      <c r="AA114" s="24">
        <f t="shared" si="460"/>
        <v>1</v>
      </c>
      <c r="AB114" s="24">
        <f>ROUND(INDEX($C$2:$C$5,MATCH($E114,$B$2:$B$5,0))*$H114/SUMIFS($H:$H,$E:$E,$E114,$B:$B,$B114,AA:AA,1)*IF(B114=$B$10,0.9,1),0)</f>
        <v>6750</v>
      </c>
      <c r="AC114" s="24">
        <f t="shared" ref="AC114:AG114" si="461">IF($L114&lt;=AC$8,1,0)</f>
        <v>1</v>
      </c>
      <c r="AD114" s="24">
        <f>ROUND(INDEX($C$2:$C$5,MATCH($E114,$B$2:$B$5,0))*$F114/SUMIFS($F:$F,$E:$E,$E114,$B:$B,$B114,AC:AC,1)*IF(B114=$B$10,0.9,1),0)</f>
        <v>6750</v>
      </c>
      <c r="AE114" s="24">
        <f t="shared" si="461"/>
        <v>1</v>
      </c>
      <c r="AF114" s="24">
        <f>ROUND(INDEX($C$2:$C$5,MATCH($E114,$B$2:$B$5,0))*$G114/SUMIFS($G:$G,$E:$E,$E114,$B:$B,$B114,AE:AE,1)*IF(B114=$B$10,0.9,1),0)</f>
        <v>6750</v>
      </c>
      <c r="AG114" s="24">
        <f t="shared" si="461"/>
        <v>1</v>
      </c>
      <c r="AH114" s="24">
        <f>ROUND(INDEX($C$2:$C$5,MATCH($E114,$B$2:$B$5,0))*$H114/SUMIFS($H:$H,$E:$E,$E114,$B:$B,$B114,AG:AG,1)*IF(B114=$B$10,0.9,1),0)</f>
        <v>6750</v>
      </c>
      <c r="AI114" s="24">
        <f t="shared" ref="AI114:AM114" si="462">IF($L114&lt;=AI$8,1,0)</f>
        <v>1</v>
      </c>
      <c r="AJ114" s="24">
        <f>ROUND(INDEX($C$2:$C$5,MATCH($E114,$B$2:$B$5,0))*$F114/SUMIFS($F:$F,$E:$E,$E114,$B:$B,$B114,AI:AI,1)*IF(B114=$B$10,0.9,1),0)</f>
        <v>6750</v>
      </c>
      <c r="AK114" s="24">
        <f t="shared" si="462"/>
        <v>1</v>
      </c>
      <c r="AL114" s="24">
        <f>ROUND(INDEX($C$2:$C$5,MATCH($E114,$B$2:$B$5,0))*$G114/SUMIFS($G:$G,$E:$E,$E114,$B:$B,$B114,AK:AK,1)*IF(B114=$B$10,0.9,1),0)</f>
        <v>6750</v>
      </c>
      <c r="AM114" s="24">
        <f t="shared" si="462"/>
        <v>1</v>
      </c>
      <c r="AN114" s="24">
        <f>ROUND(INDEX($C$2:$C$5,MATCH($E114,$B$2:$B$5,0))*$H114/SUMIFS($H:$H,$E:$E,$E114,$B:$B,$B114,AM:AM,1)*IF(B114=$B$10,0.9,1),0)</f>
        <v>6750</v>
      </c>
      <c r="AX114" s="4" t="str">
        <f t="shared" si="288"/>
        <v>1,6750</v>
      </c>
      <c r="AY114" s="4" t="str">
        <f t="shared" si="289"/>
        <v>1,6750</v>
      </c>
      <c r="AZ114" s="4" t="str">
        <f t="shared" si="290"/>
        <v>1,6750</v>
      </c>
      <c r="BA114" s="4" t="str">
        <f t="shared" si="291"/>
        <v>1,6750</v>
      </c>
      <c r="BB114" s="4" t="str">
        <f t="shared" si="292"/>
        <v>1,6750</v>
      </c>
      <c r="BC114" s="4" t="str">
        <f t="shared" si="293"/>
        <v>1,6750</v>
      </c>
      <c r="BD114" s="4" t="str">
        <f t="shared" si="294"/>
        <v>1,6750</v>
      </c>
      <c r="BE114" s="4" t="str">
        <f t="shared" si="295"/>
        <v>1,6750</v>
      </c>
      <c r="BF114" s="4" t="str">
        <f t="shared" si="296"/>
        <v>1,6750</v>
      </c>
      <c r="BG114" s="4" t="str">
        <f t="shared" si="297"/>
        <v>1,6750</v>
      </c>
      <c r="BH114" s="4" t="str">
        <f t="shared" si="298"/>
        <v>1,6750</v>
      </c>
      <c r="BI114" s="4" t="str">
        <f t="shared" si="299"/>
        <v>1,6750</v>
      </c>
      <c r="BJ114" s="4" t="str">
        <f t="shared" si="300"/>
        <v>1,6750</v>
      </c>
    </row>
    <row r="115" customHeight="1" spans="1:62">
      <c r="A115" s="35">
        <v>711</v>
      </c>
      <c r="B115" s="40" t="s">
        <v>69</v>
      </c>
      <c r="C115" s="40"/>
      <c r="D115" s="44" t="s">
        <v>362</v>
      </c>
      <c r="E115" s="45">
        <v>2</v>
      </c>
      <c r="F115" s="35">
        <v>1</v>
      </c>
      <c r="G115" s="35">
        <f t="shared" si="301"/>
        <v>1</v>
      </c>
      <c r="H115" s="35">
        <v>1</v>
      </c>
      <c r="I115" s="35">
        <v>1</v>
      </c>
      <c r="J115" s="35">
        <v>1</v>
      </c>
      <c r="K115" s="35">
        <v>1</v>
      </c>
      <c r="L115" s="35">
        <v>1</v>
      </c>
      <c r="M115" s="35"/>
      <c r="N115">
        <f t="shared" si="302"/>
        <v>4500</v>
      </c>
      <c r="O115" s="35">
        <v>1</v>
      </c>
      <c r="P115" s="24">
        <f>ROUND(INDEX($C$2:$C$5,MATCH($E115,$B$2:$B$5,0))*$F115/SUMIFS($F:$F,$E:$E,$E115,$B:$B,$B115,O:O,1)*IF(B115=$B$10,0.9,1),0)</f>
        <v>1125</v>
      </c>
      <c r="Q115" s="24">
        <f t="shared" ref="Q115:U115" si="463">IF($L115&lt;=Q$8,1,0)</f>
        <v>1</v>
      </c>
      <c r="R115" s="24">
        <f>ROUND(INDEX($C$2:$C$5,MATCH($E115,$B$2:$B$5,0))*$I115/SUMIFS($I:$I,$E:$E,$E115,$B:$B,$B115,Q:Q,1)*IF(B115=$B$10,0.9,1),0)</f>
        <v>1500</v>
      </c>
      <c r="S115" s="24">
        <f t="shared" si="463"/>
        <v>1</v>
      </c>
      <c r="T115" s="24">
        <f>ROUND(INDEX($C$2:$C$5,MATCH($E115,$B$2:$B$5,0))*$J115/SUMIFS($J:$J,$E:$E,$E115,$B:$B,$B115,S:S,1)*IF(B115=$B$10,0.9,1),0)</f>
        <v>1500</v>
      </c>
      <c r="U115" s="24">
        <f t="shared" si="463"/>
        <v>1</v>
      </c>
      <c r="V115" s="24">
        <f>ROUND(INDEX($C$2:$C$5,MATCH($E115,$B$2:$B$5,0))*$K115/SUMIFS($K:$K,$E:$E,$E115,$B:$B,$B115,U:U,1)*IF(B115=$B$10,0.9,1),0)</f>
        <v>1500</v>
      </c>
      <c r="W115" s="24">
        <f t="shared" ref="W115:AA115" si="464">IF($L115&lt;=W$8,1,0)</f>
        <v>1</v>
      </c>
      <c r="X115" s="24">
        <f>ROUND(INDEX($C$2:$C$5,MATCH($E115,$B$2:$B$5,0))*$F115/SUMIFS($F:$F,$E:$E,$E115,$B:$B,$B115,W:W,1)*IF(B115=$B$10,0.9,1),0)</f>
        <v>1125</v>
      </c>
      <c r="Y115" s="24">
        <f t="shared" si="464"/>
        <v>1</v>
      </c>
      <c r="Z115" s="24">
        <f>ROUND(INDEX($C$2:$C$5,MATCH($E115,$B$2:$B$5,0))*$G115/SUMIFS($G:$G,$E:$E,$E115,$B:$B,$B115,Y:Y,1)*IF(B115=$B$10,0.9,1),0)</f>
        <v>1125</v>
      </c>
      <c r="AA115" s="24">
        <f t="shared" si="464"/>
        <v>1</v>
      </c>
      <c r="AB115" s="24">
        <f>ROUND(INDEX($C$2:$C$5,MATCH($E115,$B$2:$B$5,0))*$H115/SUMIFS($H:$H,$E:$E,$E115,$B:$B,$B115,AA:AA,1)*IF(B115=$B$10,0.9,1),0)</f>
        <v>1125</v>
      </c>
      <c r="AC115" s="24">
        <f t="shared" ref="AC115:AG115" si="465">IF($L115&lt;=AC$8,1,0)</f>
        <v>1</v>
      </c>
      <c r="AD115" s="24">
        <f>ROUND(INDEX($C$2:$C$5,MATCH($E115,$B$2:$B$5,0))*$F115/SUMIFS($F:$F,$E:$E,$E115,$B:$B,$B115,AC:AC,1)*IF(B115=$B$10,0.9,1),0)</f>
        <v>1125</v>
      </c>
      <c r="AE115" s="24">
        <f t="shared" si="465"/>
        <v>1</v>
      </c>
      <c r="AF115" s="24">
        <f>ROUND(INDEX($C$2:$C$5,MATCH($E115,$B$2:$B$5,0))*$G115/SUMIFS($G:$G,$E:$E,$E115,$B:$B,$B115,AE:AE,1)*IF(B115=$B$10,0.9,1),0)</f>
        <v>1125</v>
      </c>
      <c r="AG115" s="24">
        <f t="shared" si="465"/>
        <v>1</v>
      </c>
      <c r="AH115" s="24">
        <f>ROUND(INDEX($C$2:$C$5,MATCH($E115,$B$2:$B$5,0))*$H115/SUMIFS($H:$H,$E:$E,$E115,$B:$B,$B115,AG:AG,1)*IF(B115=$B$10,0.9,1),0)</f>
        <v>1125</v>
      </c>
      <c r="AI115" s="24">
        <f t="shared" ref="AI115:AM115" si="466">IF($L115&lt;=AI$8,1,0)</f>
        <v>1</v>
      </c>
      <c r="AJ115" s="24">
        <f>ROUND(INDEX($C$2:$C$5,MATCH($E115,$B$2:$B$5,0))*$F115/SUMIFS($F:$F,$E:$E,$E115,$B:$B,$B115,AI:AI,1)*IF(B115=$B$10,0.9,1),0)</f>
        <v>1125</v>
      </c>
      <c r="AK115" s="24">
        <f t="shared" si="466"/>
        <v>1</v>
      </c>
      <c r="AL115" s="24">
        <f>ROUND(INDEX($C$2:$C$5,MATCH($E115,$B$2:$B$5,0))*$G115/SUMIFS($G:$G,$E:$E,$E115,$B:$B,$B115,AK:AK,1)*IF(B115=$B$10,0.9,1),0)</f>
        <v>1125</v>
      </c>
      <c r="AM115" s="24">
        <f t="shared" si="466"/>
        <v>1</v>
      </c>
      <c r="AN115" s="24">
        <f>ROUND(INDEX($C$2:$C$5,MATCH($E115,$B$2:$B$5,0))*$H115/SUMIFS($H:$H,$E:$E,$E115,$B:$B,$B115,AM:AM,1)*IF(B115=$B$10,0.9,1),0)</f>
        <v>1125</v>
      </c>
      <c r="AX115" s="4" t="str">
        <f t="shared" si="288"/>
        <v>1,1125</v>
      </c>
      <c r="AY115" s="4" t="str">
        <f t="shared" si="289"/>
        <v>1,1500</v>
      </c>
      <c r="AZ115" s="4" t="str">
        <f t="shared" si="290"/>
        <v>1,1500</v>
      </c>
      <c r="BA115" s="4" t="str">
        <f t="shared" si="291"/>
        <v>1,1500</v>
      </c>
      <c r="BB115" s="4" t="str">
        <f t="shared" si="292"/>
        <v>1,1125</v>
      </c>
      <c r="BC115" s="4" t="str">
        <f t="shared" si="293"/>
        <v>1,1125</v>
      </c>
      <c r="BD115" s="4" t="str">
        <f t="shared" si="294"/>
        <v>1,1125</v>
      </c>
      <c r="BE115" s="4" t="str">
        <f t="shared" si="295"/>
        <v>1,1125</v>
      </c>
      <c r="BF115" s="4" t="str">
        <f t="shared" si="296"/>
        <v>1,1125</v>
      </c>
      <c r="BG115" s="4" t="str">
        <f t="shared" si="297"/>
        <v>1,1125</v>
      </c>
      <c r="BH115" s="4" t="str">
        <f t="shared" si="298"/>
        <v>1,1125</v>
      </c>
      <c r="BI115" s="4" t="str">
        <f t="shared" si="299"/>
        <v>1,1125</v>
      </c>
      <c r="BJ115" s="4" t="str">
        <f t="shared" si="300"/>
        <v>1,1125</v>
      </c>
    </row>
    <row r="116" customHeight="1" spans="1:62">
      <c r="A116" s="49">
        <v>712</v>
      </c>
      <c r="B116" s="40" t="s">
        <v>69</v>
      </c>
      <c r="C116" s="40" t="s">
        <v>218</v>
      </c>
      <c r="D116" s="44" t="s">
        <v>363</v>
      </c>
      <c r="E116" s="45">
        <v>2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 t="s">
        <v>136</v>
      </c>
      <c r="N116">
        <f t="shared" si="302"/>
        <v>4500</v>
      </c>
      <c r="O116" s="35">
        <v>1</v>
      </c>
      <c r="P116" s="24">
        <f>ROUND(INDEX($C$2:$C$5,MATCH($E116,$B$2:$B$5,0))*$F116/SUMIFS($F:$F,$E:$E,$E116,$B:$B,$B116,O:O,1)*IF(B116=$B$10,0.9,1),0)</f>
        <v>0</v>
      </c>
      <c r="Q116" s="24">
        <f t="shared" ref="Q116:U116" si="467">IF($L116&lt;=Q$8,1,0)</f>
        <v>1</v>
      </c>
      <c r="R116" s="24">
        <f>ROUND(INDEX($C$2:$C$5,MATCH($E116,$B$2:$B$5,0))*$I116/SUMIFS($I:$I,$E:$E,$E116,$B:$B,$B116,Q:Q,1)*IF(B116=$B$10,0.9,1),0)</f>
        <v>0</v>
      </c>
      <c r="S116" s="24">
        <f t="shared" si="467"/>
        <v>1</v>
      </c>
      <c r="T116" s="24">
        <f>ROUND(INDEX($C$2:$C$5,MATCH($E116,$B$2:$B$5,0))*$J116/SUMIFS($J:$J,$E:$E,$E116,$B:$B,$B116,S:S,1)*IF(B116=$B$10,0.9,1),0)</f>
        <v>0</v>
      </c>
      <c r="U116" s="24">
        <f t="shared" si="467"/>
        <v>1</v>
      </c>
      <c r="V116" s="24">
        <f>ROUND(INDEX($C$2:$C$5,MATCH($E116,$B$2:$B$5,0))*$K116/SUMIFS($K:$K,$E:$E,$E116,$B:$B,$B116,U:U,1)*IF(B116=$B$10,0.9,1),0)</f>
        <v>0</v>
      </c>
      <c r="W116" s="24">
        <f t="shared" ref="W116:AA116" si="468">IF($L116&lt;=W$8,1,0)</f>
        <v>1</v>
      </c>
      <c r="X116" s="24">
        <f>ROUND(INDEX($C$2:$C$5,MATCH($E116,$B$2:$B$5,0))*$F116/SUMIFS($F:$F,$E:$E,$E116,$B:$B,$B116,W:W,1)*IF(B116=$B$10,0.9,1),0)</f>
        <v>0</v>
      </c>
      <c r="Y116" s="24">
        <f t="shared" si="468"/>
        <v>1</v>
      </c>
      <c r="Z116" s="24">
        <f>ROUND(INDEX($C$2:$C$5,MATCH($E116,$B$2:$B$5,0))*$G116/SUMIFS($G:$G,$E:$E,$E116,$B:$B,$B116,Y:Y,1)*IF(B116=$B$10,0.9,1),0)</f>
        <v>0</v>
      </c>
      <c r="AA116" s="24">
        <f t="shared" si="468"/>
        <v>1</v>
      </c>
      <c r="AB116" s="24">
        <f>ROUND(INDEX($C$2:$C$5,MATCH($E116,$B$2:$B$5,0))*$H116/SUMIFS($H:$H,$E:$E,$E116,$B:$B,$B116,AA:AA,1)*IF(B116=$B$10,0.9,1),0)</f>
        <v>0</v>
      </c>
      <c r="AC116" s="24">
        <f t="shared" ref="AC116:AG116" si="469">IF($L116&lt;=AC$8,1,0)</f>
        <v>1</v>
      </c>
      <c r="AD116" s="24">
        <f>ROUND(INDEX($C$2:$C$5,MATCH($E116,$B$2:$B$5,0))*$F116/SUMIFS($F:$F,$E:$E,$E116,$B:$B,$B116,AC:AC,1)*IF(B116=$B$10,0.9,1),0)</f>
        <v>0</v>
      </c>
      <c r="AE116" s="24">
        <f t="shared" si="469"/>
        <v>1</v>
      </c>
      <c r="AF116" s="24">
        <f>ROUND(INDEX($C$2:$C$5,MATCH($E116,$B$2:$B$5,0))*$G116/SUMIFS($G:$G,$E:$E,$E116,$B:$B,$B116,AE:AE,1)*IF(B116=$B$10,0.9,1),0)</f>
        <v>0</v>
      </c>
      <c r="AG116" s="24">
        <f t="shared" si="469"/>
        <v>1</v>
      </c>
      <c r="AH116" s="24">
        <f>ROUND(INDEX($C$2:$C$5,MATCH($E116,$B$2:$B$5,0))*$H116/SUMIFS($H:$H,$E:$E,$E116,$B:$B,$B116,AG:AG,1)*IF(B116=$B$10,0.9,1),0)</f>
        <v>0</v>
      </c>
      <c r="AI116" s="24">
        <f t="shared" ref="AI116:AM116" si="470">IF($L116&lt;=AI$8,1,0)</f>
        <v>1</v>
      </c>
      <c r="AJ116" s="24">
        <f>ROUND(INDEX($C$2:$C$5,MATCH($E116,$B$2:$B$5,0))*$F116/SUMIFS($F:$F,$E:$E,$E116,$B:$B,$B116,AI:AI,1)*IF(B116=$B$10,0.9,1),0)</f>
        <v>0</v>
      </c>
      <c r="AK116" s="24">
        <f t="shared" si="470"/>
        <v>1</v>
      </c>
      <c r="AL116" s="24">
        <f>ROUND(INDEX($C$2:$C$5,MATCH($E116,$B$2:$B$5,0))*$G116/SUMIFS($G:$G,$E:$E,$E116,$B:$B,$B116,AK:AK,1)*IF(B116=$B$10,0.9,1),0)</f>
        <v>0</v>
      </c>
      <c r="AM116" s="24">
        <f t="shared" si="470"/>
        <v>1</v>
      </c>
      <c r="AN116" s="24">
        <f>ROUND(INDEX($C$2:$C$5,MATCH($E116,$B$2:$B$5,0))*$H116/SUMIFS($H:$H,$E:$E,$E116,$B:$B,$B116,AM:AM,1)*IF(B116=$B$10,0.9,1),0)</f>
        <v>0</v>
      </c>
      <c r="AX116" s="4" t="str">
        <f t="shared" si="288"/>
        <v>1,0</v>
      </c>
      <c r="AY116" s="4" t="str">
        <f t="shared" si="289"/>
        <v>1,0</v>
      </c>
      <c r="AZ116" s="4" t="str">
        <f t="shared" si="290"/>
        <v>1,0</v>
      </c>
      <c r="BA116" s="4" t="str">
        <f t="shared" si="291"/>
        <v>1,0</v>
      </c>
      <c r="BB116" s="4" t="str">
        <f t="shared" si="292"/>
        <v>1,0</v>
      </c>
      <c r="BC116" s="4" t="str">
        <f t="shared" si="293"/>
        <v>1,0</v>
      </c>
      <c r="BD116" s="4" t="str">
        <f t="shared" si="294"/>
        <v>1,0</v>
      </c>
      <c r="BE116" s="4" t="str">
        <f t="shared" si="295"/>
        <v>1,0</v>
      </c>
      <c r="BF116" s="4" t="str">
        <f t="shared" si="296"/>
        <v>1,0</v>
      </c>
      <c r="BG116" s="4" t="str">
        <f t="shared" si="297"/>
        <v>1,0</v>
      </c>
      <c r="BH116" s="4" t="str">
        <f t="shared" si="298"/>
        <v>1,0</v>
      </c>
      <c r="BI116" s="4" t="str">
        <f t="shared" si="299"/>
        <v>1,0</v>
      </c>
      <c r="BJ116" s="4" t="str">
        <f t="shared" si="300"/>
        <v>1,0</v>
      </c>
    </row>
    <row r="117" customHeight="1" spans="1:62">
      <c r="A117" s="49">
        <v>713</v>
      </c>
      <c r="B117" s="40" t="s">
        <v>69</v>
      </c>
      <c r="C117" s="40" t="s">
        <v>218</v>
      </c>
      <c r="D117" s="44" t="s">
        <v>364</v>
      </c>
      <c r="E117" s="45">
        <v>2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/>
      <c r="N117">
        <f t="shared" si="302"/>
        <v>4500</v>
      </c>
      <c r="O117" s="35">
        <v>1</v>
      </c>
      <c r="P117" s="24">
        <f>ROUND(INDEX($C$2:$C$5,MATCH($E117,$B$2:$B$5,0))*$F117/SUMIFS($F:$F,$E:$E,$E117,$B:$B,$B117,O:O,1)*IF(B117=$B$10,0.9,1),0)</f>
        <v>0</v>
      </c>
      <c r="Q117" s="24">
        <f t="shared" ref="Q117:U117" si="471">IF($L117&lt;=Q$8,1,0)</f>
        <v>1</v>
      </c>
      <c r="R117" s="24">
        <f>ROUND(INDEX($C$2:$C$5,MATCH($E117,$B$2:$B$5,0))*$I117/SUMIFS($I:$I,$E:$E,$E117,$B:$B,$B117,Q:Q,1)*IF(B117=$B$10,0.9,1),0)</f>
        <v>0</v>
      </c>
      <c r="S117" s="24">
        <f t="shared" si="471"/>
        <v>1</v>
      </c>
      <c r="T117" s="24">
        <f>ROUND(INDEX($C$2:$C$5,MATCH($E117,$B$2:$B$5,0))*$J117/SUMIFS($J:$J,$E:$E,$E117,$B:$B,$B117,S:S,1)*IF(B117=$B$10,0.9,1),0)</f>
        <v>0</v>
      </c>
      <c r="U117" s="24">
        <f t="shared" si="471"/>
        <v>1</v>
      </c>
      <c r="V117" s="24">
        <f>ROUND(INDEX($C$2:$C$5,MATCH($E117,$B$2:$B$5,0))*$K117/SUMIFS($K:$K,$E:$E,$E117,$B:$B,$B117,U:U,1)*IF(B117=$B$10,0.9,1),0)</f>
        <v>0</v>
      </c>
      <c r="W117" s="24">
        <f t="shared" ref="W117:AA117" si="472">IF($L117&lt;=W$8,1,0)</f>
        <v>1</v>
      </c>
      <c r="X117" s="24">
        <f>ROUND(INDEX($C$2:$C$5,MATCH($E117,$B$2:$B$5,0))*$F117/SUMIFS($F:$F,$E:$E,$E117,$B:$B,$B117,W:W,1)*IF(B117=$B$10,0.9,1),0)</f>
        <v>0</v>
      </c>
      <c r="Y117" s="24">
        <f t="shared" si="472"/>
        <v>1</v>
      </c>
      <c r="Z117" s="24">
        <f>ROUND(INDEX($C$2:$C$5,MATCH($E117,$B$2:$B$5,0))*$G117/SUMIFS($G:$G,$E:$E,$E117,$B:$B,$B117,Y:Y,1)*IF(B117=$B$10,0.9,1),0)</f>
        <v>0</v>
      </c>
      <c r="AA117" s="24">
        <f t="shared" si="472"/>
        <v>1</v>
      </c>
      <c r="AB117" s="24">
        <f>ROUND(INDEX($C$2:$C$5,MATCH($E117,$B$2:$B$5,0))*$H117/SUMIFS($H:$H,$E:$E,$E117,$B:$B,$B117,AA:AA,1)*IF(B117=$B$10,0.9,1),0)</f>
        <v>0</v>
      </c>
      <c r="AC117" s="24">
        <f t="shared" ref="AC117:AG117" si="473">IF($L117&lt;=AC$8,1,0)</f>
        <v>1</v>
      </c>
      <c r="AD117" s="24">
        <f>ROUND(INDEX($C$2:$C$5,MATCH($E117,$B$2:$B$5,0))*$F117/SUMIFS($F:$F,$E:$E,$E117,$B:$B,$B117,AC:AC,1)*IF(B117=$B$10,0.9,1),0)</f>
        <v>0</v>
      </c>
      <c r="AE117" s="24">
        <f t="shared" si="473"/>
        <v>1</v>
      </c>
      <c r="AF117" s="24">
        <f>ROUND(INDEX($C$2:$C$5,MATCH($E117,$B$2:$B$5,0))*$G117/SUMIFS($G:$G,$E:$E,$E117,$B:$B,$B117,AE:AE,1)*IF(B117=$B$10,0.9,1),0)</f>
        <v>0</v>
      </c>
      <c r="AG117" s="24">
        <f t="shared" si="473"/>
        <v>1</v>
      </c>
      <c r="AH117" s="24">
        <f>ROUND(INDEX($C$2:$C$5,MATCH($E117,$B$2:$B$5,0))*$H117/SUMIFS($H:$H,$E:$E,$E117,$B:$B,$B117,AG:AG,1)*IF(B117=$B$10,0.9,1),0)</f>
        <v>0</v>
      </c>
      <c r="AI117" s="24">
        <f t="shared" ref="AI117:AM117" si="474">IF($L117&lt;=AI$8,1,0)</f>
        <v>1</v>
      </c>
      <c r="AJ117" s="24">
        <f>ROUND(INDEX($C$2:$C$5,MATCH($E117,$B$2:$B$5,0))*$F117/SUMIFS($F:$F,$E:$E,$E117,$B:$B,$B117,AI:AI,1)*IF(B117=$B$10,0.9,1),0)</f>
        <v>0</v>
      </c>
      <c r="AK117" s="24">
        <f t="shared" si="474"/>
        <v>1</v>
      </c>
      <c r="AL117" s="24">
        <f>ROUND(INDEX($C$2:$C$5,MATCH($E117,$B$2:$B$5,0))*$G117/SUMIFS($G:$G,$E:$E,$E117,$B:$B,$B117,AK:AK,1)*IF(B117=$B$10,0.9,1),0)</f>
        <v>0</v>
      </c>
      <c r="AM117" s="24">
        <f t="shared" si="474"/>
        <v>1</v>
      </c>
      <c r="AN117" s="24">
        <f>ROUND(INDEX($C$2:$C$5,MATCH($E117,$B$2:$B$5,0))*$H117/SUMIFS($H:$H,$E:$E,$E117,$B:$B,$B117,AM:AM,1)*IF(B117=$B$10,0.9,1),0)</f>
        <v>0</v>
      </c>
      <c r="AX117" s="4" t="str">
        <f t="shared" si="288"/>
        <v>1,0</v>
      </c>
      <c r="AY117" s="4" t="str">
        <f t="shared" si="289"/>
        <v>1,0</v>
      </c>
      <c r="AZ117" s="4" t="str">
        <f t="shared" si="290"/>
        <v>1,0</v>
      </c>
      <c r="BA117" s="4" t="str">
        <f t="shared" si="291"/>
        <v>1,0</v>
      </c>
      <c r="BB117" s="4" t="str">
        <f t="shared" si="292"/>
        <v>1,0</v>
      </c>
      <c r="BC117" s="4" t="str">
        <f t="shared" si="293"/>
        <v>1,0</v>
      </c>
      <c r="BD117" s="4" t="str">
        <f t="shared" si="294"/>
        <v>1,0</v>
      </c>
      <c r="BE117" s="4" t="str">
        <f t="shared" si="295"/>
        <v>1,0</v>
      </c>
      <c r="BF117" s="4" t="str">
        <f t="shared" si="296"/>
        <v>1,0</v>
      </c>
      <c r="BG117" s="4" t="str">
        <f t="shared" si="297"/>
        <v>1,0</v>
      </c>
      <c r="BH117" s="4" t="str">
        <f t="shared" si="298"/>
        <v>1,0</v>
      </c>
      <c r="BI117" s="4" t="str">
        <f t="shared" si="299"/>
        <v>1,0</v>
      </c>
      <c r="BJ117" s="4" t="str">
        <f t="shared" si="300"/>
        <v>1,0</v>
      </c>
    </row>
    <row r="118" customHeight="1" spans="1:62">
      <c r="A118" s="35">
        <v>714</v>
      </c>
      <c r="B118" s="40" t="s">
        <v>69</v>
      </c>
      <c r="C118" s="40" t="s">
        <v>218</v>
      </c>
      <c r="D118" s="44" t="s">
        <v>365</v>
      </c>
      <c r="E118" s="45">
        <v>2</v>
      </c>
      <c r="F118" s="35">
        <v>1</v>
      </c>
      <c r="G118" s="35">
        <f t="shared" si="301"/>
        <v>1</v>
      </c>
      <c r="H118" s="35">
        <v>1</v>
      </c>
      <c r="I118" s="35">
        <v>1</v>
      </c>
      <c r="J118" s="35">
        <v>1</v>
      </c>
      <c r="K118" s="35">
        <v>1</v>
      </c>
      <c r="L118" s="35">
        <v>1</v>
      </c>
      <c r="M118" s="35" t="s">
        <v>136</v>
      </c>
      <c r="N118">
        <f t="shared" si="302"/>
        <v>4500</v>
      </c>
      <c r="O118" s="35">
        <v>1</v>
      </c>
      <c r="P118" s="24">
        <f>ROUND(INDEX($C$2:$C$5,MATCH($E118,$B$2:$B$5,0))*$F118/SUMIFS($F:$F,$E:$E,$E118,$B:$B,$B118,O:O,1)*IF(B118=$B$10,0.9,1),0)</f>
        <v>1125</v>
      </c>
      <c r="Q118" s="24">
        <f t="shared" ref="Q118:U118" si="475">IF($L118&lt;=Q$8,1,0)</f>
        <v>1</v>
      </c>
      <c r="R118" s="24">
        <f>ROUND(INDEX($C$2:$C$5,MATCH($E118,$B$2:$B$5,0))*$I118/SUMIFS($I:$I,$E:$E,$E118,$B:$B,$B118,Q:Q,1)*IF(B118=$B$10,0.9,1),0)</f>
        <v>1500</v>
      </c>
      <c r="S118" s="24">
        <f t="shared" si="475"/>
        <v>1</v>
      </c>
      <c r="T118" s="24">
        <f>ROUND(INDEX($C$2:$C$5,MATCH($E118,$B$2:$B$5,0))*$J118/SUMIFS($J:$J,$E:$E,$E118,$B:$B,$B118,S:S,1)*IF(B118=$B$10,0.9,1),0)</f>
        <v>1500</v>
      </c>
      <c r="U118" s="24">
        <f t="shared" si="475"/>
        <v>1</v>
      </c>
      <c r="V118" s="24">
        <f>ROUND(INDEX($C$2:$C$5,MATCH($E118,$B$2:$B$5,0))*$K118/SUMIFS($K:$K,$E:$E,$E118,$B:$B,$B118,U:U,1)*IF(B118=$B$10,0.9,1),0)</f>
        <v>1500</v>
      </c>
      <c r="W118" s="24">
        <f t="shared" ref="W118:AA118" si="476">IF($L118&lt;=W$8,1,0)</f>
        <v>1</v>
      </c>
      <c r="X118" s="24">
        <f>ROUND(INDEX($C$2:$C$5,MATCH($E118,$B$2:$B$5,0))*$F118/SUMIFS($F:$F,$E:$E,$E118,$B:$B,$B118,W:W,1)*IF(B118=$B$10,0.9,1),0)</f>
        <v>1125</v>
      </c>
      <c r="Y118" s="24">
        <f t="shared" si="476"/>
        <v>1</v>
      </c>
      <c r="Z118" s="24">
        <f>ROUND(INDEX($C$2:$C$5,MATCH($E118,$B$2:$B$5,0))*$G118/SUMIFS($G:$G,$E:$E,$E118,$B:$B,$B118,Y:Y,1)*IF(B118=$B$10,0.9,1),0)</f>
        <v>1125</v>
      </c>
      <c r="AA118" s="24">
        <f t="shared" si="476"/>
        <v>1</v>
      </c>
      <c r="AB118" s="24">
        <f>ROUND(INDEX($C$2:$C$5,MATCH($E118,$B$2:$B$5,0))*$H118/SUMIFS($H:$H,$E:$E,$E118,$B:$B,$B118,AA:AA,1)*IF(B118=$B$10,0.9,1),0)</f>
        <v>1125</v>
      </c>
      <c r="AC118" s="24">
        <f t="shared" ref="AC118:AG118" si="477">IF($L118&lt;=AC$8,1,0)</f>
        <v>1</v>
      </c>
      <c r="AD118" s="24">
        <f>ROUND(INDEX($C$2:$C$5,MATCH($E118,$B$2:$B$5,0))*$F118/SUMIFS($F:$F,$E:$E,$E118,$B:$B,$B118,AC:AC,1)*IF(B118=$B$10,0.9,1),0)</f>
        <v>1125</v>
      </c>
      <c r="AE118" s="24">
        <f t="shared" si="477"/>
        <v>1</v>
      </c>
      <c r="AF118" s="24">
        <f>ROUND(INDEX($C$2:$C$5,MATCH($E118,$B$2:$B$5,0))*$G118/SUMIFS($G:$G,$E:$E,$E118,$B:$B,$B118,AE:AE,1)*IF(B118=$B$10,0.9,1),0)</f>
        <v>1125</v>
      </c>
      <c r="AG118" s="24">
        <f t="shared" si="477"/>
        <v>1</v>
      </c>
      <c r="AH118" s="24">
        <f>ROUND(INDEX($C$2:$C$5,MATCH($E118,$B$2:$B$5,0))*$H118/SUMIFS($H:$H,$E:$E,$E118,$B:$B,$B118,AG:AG,1)*IF(B118=$B$10,0.9,1),0)</f>
        <v>1125</v>
      </c>
      <c r="AI118" s="24">
        <f t="shared" ref="AI118:AM118" si="478">IF($L118&lt;=AI$8,1,0)</f>
        <v>1</v>
      </c>
      <c r="AJ118" s="24">
        <f>ROUND(INDEX($C$2:$C$5,MATCH($E118,$B$2:$B$5,0))*$F118/SUMIFS($F:$F,$E:$E,$E118,$B:$B,$B118,AI:AI,1)*IF(B118=$B$10,0.9,1),0)</f>
        <v>1125</v>
      </c>
      <c r="AK118" s="24">
        <f t="shared" si="478"/>
        <v>1</v>
      </c>
      <c r="AL118" s="24">
        <f>ROUND(INDEX($C$2:$C$5,MATCH($E118,$B$2:$B$5,0))*$G118/SUMIFS($G:$G,$E:$E,$E118,$B:$B,$B118,AK:AK,1)*IF(B118=$B$10,0.9,1),0)</f>
        <v>1125</v>
      </c>
      <c r="AM118" s="24">
        <f t="shared" si="478"/>
        <v>1</v>
      </c>
      <c r="AN118" s="24">
        <f>ROUND(INDEX($C$2:$C$5,MATCH($E118,$B$2:$B$5,0))*$H118/SUMIFS($H:$H,$E:$E,$E118,$B:$B,$B118,AM:AM,1)*IF(B118=$B$10,0.9,1),0)</f>
        <v>1125</v>
      </c>
      <c r="AX118" s="4" t="str">
        <f t="shared" si="288"/>
        <v>1,1125</v>
      </c>
      <c r="AY118" s="4" t="str">
        <f t="shared" si="289"/>
        <v>1,1500</v>
      </c>
      <c r="AZ118" s="4" t="str">
        <f t="shared" si="290"/>
        <v>1,1500</v>
      </c>
      <c r="BA118" s="4" t="str">
        <f t="shared" si="291"/>
        <v>1,1500</v>
      </c>
      <c r="BB118" s="4" t="str">
        <f t="shared" si="292"/>
        <v>1,1125</v>
      </c>
      <c r="BC118" s="4" t="str">
        <f t="shared" si="293"/>
        <v>1,1125</v>
      </c>
      <c r="BD118" s="4" t="str">
        <f t="shared" si="294"/>
        <v>1,1125</v>
      </c>
      <c r="BE118" s="4" t="str">
        <f t="shared" si="295"/>
        <v>1,1125</v>
      </c>
      <c r="BF118" s="4" t="str">
        <f t="shared" si="296"/>
        <v>1,1125</v>
      </c>
      <c r="BG118" s="4" t="str">
        <f t="shared" si="297"/>
        <v>1,1125</v>
      </c>
      <c r="BH118" s="4" t="str">
        <f t="shared" si="298"/>
        <v>1,1125</v>
      </c>
      <c r="BI118" s="4" t="str">
        <f t="shared" si="299"/>
        <v>1,1125</v>
      </c>
      <c r="BJ118" s="4" t="str">
        <f t="shared" si="300"/>
        <v>1,1125</v>
      </c>
    </row>
    <row r="119" customHeight="1" spans="1:62">
      <c r="A119" s="35">
        <v>721</v>
      </c>
      <c r="B119" s="40" t="s">
        <v>69</v>
      </c>
      <c r="C119" s="40" t="s">
        <v>218</v>
      </c>
      <c r="D119" s="46" t="s">
        <v>366</v>
      </c>
      <c r="E119" s="45">
        <v>3</v>
      </c>
      <c r="F119" s="35">
        <v>1</v>
      </c>
      <c r="G119" s="35">
        <f t="shared" si="301"/>
        <v>1</v>
      </c>
      <c r="H119" s="35">
        <v>1</v>
      </c>
      <c r="I119" s="35">
        <v>1</v>
      </c>
      <c r="J119" s="35">
        <v>1</v>
      </c>
      <c r="K119" s="35">
        <v>1</v>
      </c>
      <c r="L119" s="35">
        <v>1</v>
      </c>
      <c r="M119" s="35"/>
      <c r="N119">
        <f t="shared" si="302"/>
        <v>1500</v>
      </c>
      <c r="O119" s="35">
        <v>1</v>
      </c>
      <c r="P119" s="24">
        <f>ROUND(INDEX($C$2:$C$5,MATCH($E119,$B$2:$B$5,0))*$F119/SUMIFS($F:$F,$E:$E,$E119,$B:$B,$B119,O:O,1)*IF(B119=$B$10,0.9,1),0)</f>
        <v>250</v>
      </c>
      <c r="Q119" s="24">
        <f t="shared" ref="Q119:U119" si="479">IF($L119&lt;=Q$8,1,0)</f>
        <v>1</v>
      </c>
      <c r="R119" s="24">
        <f>ROUND(INDEX($C$2:$C$5,MATCH($E119,$B$2:$B$5,0))*$I119/SUMIFS($I:$I,$E:$E,$E119,$B:$B,$B119,Q:Q,1)*IF(B119=$B$10,0.9,1),0)</f>
        <v>300</v>
      </c>
      <c r="S119" s="24">
        <f t="shared" si="479"/>
        <v>1</v>
      </c>
      <c r="T119" s="24">
        <f>ROUND(INDEX($C$2:$C$5,MATCH($E119,$B$2:$B$5,0))*$J119/SUMIFS($J:$J,$E:$E,$E119,$B:$B,$B119,S:S,1)*IF(B119=$B$10,0.9,1),0)</f>
        <v>300</v>
      </c>
      <c r="U119" s="24">
        <f t="shared" si="479"/>
        <v>1</v>
      </c>
      <c r="V119" s="24">
        <f>ROUND(INDEX($C$2:$C$5,MATCH($E119,$B$2:$B$5,0))*$K119/SUMIFS($K:$K,$E:$E,$E119,$B:$B,$B119,U:U,1)*IF(B119=$B$10,0.9,1),0)</f>
        <v>300</v>
      </c>
      <c r="W119" s="24">
        <f t="shared" ref="W119:AA119" si="480">IF($L119&lt;=W$8,1,0)</f>
        <v>1</v>
      </c>
      <c r="X119" s="24">
        <f>ROUND(INDEX($C$2:$C$5,MATCH($E119,$B$2:$B$5,0))*$F119/SUMIFS($F:$F,$E:$E,$E119,$B:$B,$B119,W:W,1)*IF(B119=$B$10,0.9,1),0)</f>
        <v>250</v>
      </c>
      <c r="Y119" s="24">
        <f t="shared" si="480"/>
        <v>1</v>
      </c>
      <c r="Z119" s="24">
        <f>ROUND(INDEX($C$2:$C$5,MATCH($E119,$B$2:$B$5,0))*$G119/SUMIFS($G:$G,$E:$E,$E119,$B:$B,$B119,Y:Y,1)*IF(B119=$B$10,0.9,1),0)</f>
        <v>250</v>
      </c>
      <c r="AA119" s="24">
        <f t="shared" si="480"/>
        <v>1</v>
      </c>
      <c r="AB119" s="24">
        <f>ROUND(INDEX($C$2:$C$5,MATCH($E119,$B$2:$B$5,0))*$H119/SUMIFS($H:$H,$E:$E,$E119,$B:$B,$B119,AA:AA,1)*IF(B119=$B$10,0.9,1),0)</f>
        <v>250</v>
      </c>
      <c r="AC119" s="24">
        <f t="shared" ref="AC119:AG119" si="481">IF($L119&lt;=AC$8,1,0)</f>
        <v>1</v>
      </c>
      <c r="AD119" s="24">
        <f>ROUND(INDEX($C$2:$C$5,MATCH($E119,$B$2:$B$5,0))*$F119/SUMIFS($F:$F,$E:$E,$E119,$B:$B,$B119,AC:AC,1)*IF(B119=$B$10,0.9,1),0)</f>
        <v>250</v>
      </c>
      <c r="AE119" s="24">
        <f t="shared" si="481"/>
        <v>1</v>
      </c>
      <c r="AF119" s="24">
        <f>ROUND(INDEX($C$2:$C$5,MATCH($E119,$B$2:$B$5,0))*$G119/SUMIFS($G:$G,$E:$E,$E119,$B:$B,$B119,AE:AE,1)*IF(B119=$B$10,0.9,1),0)</f>
        <v>250</v>
      </c>
      <c r="AG119" s="24">
        <f t="shared" si="481"/>
        <v>1</v>
      </c>
      <c r="AH119" s="24">
        <f>ROUND(INDEX($C$2:$C$5,MATCH($E119,$B$2:$B$5,0))*$H119/SUMIFS($H:$H,$E:$E,$E119,$B:$B,$B119,AG:AG,1)*IF(B119=$B$10,0.9,1),0)</f>
        <v>250</v>
      </c>
      <c r="AI119" s="24">
        <f t="shared" ref="AI119:AM119" si="482">IF($L119&lt;=AI$8,1,0)</f>
        <v>1</v>
      </c>
      <c r="AJ119" s="24">
        <f>ROUND(INDEX($C$2:$C$5,MATCH($E119,$B$2:$B$5,0))*$F119/SUMIFS($F:$F,$E:$E,$E119,$B:$B,$B119,AI:AI,1)*IF(B119=$B$10,0.9,1),0)</f>
        <v>250</v>
      </c>
      <c r="AK119" s="24">
        <f t="shared" si="482"/>
        <v>1</v>
      </c>
      <c r="AL119" s="24">
        <f>ROUND(INDEX($C$2:$C$5,MATCH($E119,$B$2:$B$5,0))*$G119/SUMIFS($G:$G,$E:$E,$E119,$B:$B,$B119,AK:AK,1)*IF(B119=$B$10,0.9,1),0)</f>
        <v>250</v>
      </c>
      <c r="AM119" s="24">
        <f t="shared" si="482"/>
        <v>1</v>
      </c>
      <c r="AN119" s="24">
        <f>ROUND(INDEX($C$2:$C$5,MATCH($E119,$B$2:$B$5,0))*$H119/SUMIFS($H:$H,$E:$E,$E119,$B:$B,$B119,AM:AM,1)*IF(B119=$B$10,0.9,1),0)</f>
        <v>250</v>
      </c>
      <c r="AX119" s="4" t="str">
        <f t="shared" si="288"/>
        <v>1,250</v>
      </c>
      <c r="AY119" s="4" t="str">
        <f t="shared" si="289"/>
        <v>1,300</v>
      </c>
      <c r="AZ119" s="4" t="str">
        <f t="shared" si="290"/>
        <v>1,300</v>
      </c>
      <c r="BA119" s="4" t="str">
        <f t="shared" si="291"/>
        <v>1,300</v>
      </c>
      <c r="BB119" s="4" t="str">
        <f t="shared" si="292"/>
        <v>1,250</v>
      </c>
      <c r="BC119" s="4" t="str">
        <f t="shared" si="293"/>
        <v>1,250</v>
      </c>
      <c r="BD119" s="4" t="str">
        <f t="shared" si="294"/>
        <v>1,250</v>
      </c>
      <c r="BE119" s="4" t="str">
        <f t="shared" si="295"/>
        <v>1,250</v>
      </c>
      <c r="BF119" s="4" t="str">
        <f t="shared" si="296"/>
        <v>1,250</v>
      </c>
      <c r="BG119" s="4" t="str">
        <f t="shared" si="297"/>
        <v>1,250</v>
      </c>
      <c r="BH119" s="4" t="str">
        <f t="shared" si="298"/>
        <v>1,250</v>
      </c>
      <c r="BI119" s="4" t="str">
        <f t="shared" si="299"/>
        <v>1,250</v>
      </c>
      <c r="BJ119" s="4" t="str">
        <f t="shared" si="300"/>
        <v>1,250</v>
      </c>
    </row>
    <row r="120" customHeight="1" spans="1:62">
      <c r="A120" s="35">
        <v>722</v>
      </c>
      <c r="B120" s="40" t="s">
        <v>69</v>
      </c>
      <c r="C120" s="40" t="s">
        <v>218</v>
      </c>
      <c r="D120" s="46" t="s">
        <v>367</v>
      </c>
      <c r="E120" s="50">
        <v>3</v>
      </c>
      <c r="F120" s="35">
        <v>1</v>
      </c>
      <c r="G120" s="35">
        <f t="shared" si="301"/>
        <v>1</v>
      </c>
      <c r="H120" s="35">
        <v>1</v>
      </c>
      <c r="I120" s="35">
        <v>1</v>
      </c>
      <c r="J120" s="35">
        <v>1</v>
      </c>
      <c r="K120" s="35">
        <v>1</v>
      </c>
      <c r="L120" s="35">
        <v>1</v>
      </c>
      <c r="M120" s="35"/>
      <c r="N120">
        <f t="shared" si="302"/>
        <v>1500</v>
      </c>
      <c r="O120" s="35">
        <v>1</v>
      </c>
      <c r="P120" s="24">
        <f>ROUND(INDEX($C$2:$C$5,MATCH($E120,$B$2:$B$5,0))*$F120/SUMIFS($F:$F,$E:$E,$E120,$B:$B,$B120,O:O,1)*IF(B120=$B$10,0.9,1),0)</f>
        <v>250</v>
      </c>
      <c r="Q120" s="24">
        <f t="shared" ref="Q120:U120" si="483">IF($L120&lt;=Q$8,1,0)</f>
        <v>1</v>
      </c>
      <c r="R120" s="24">
        <f>ROUND(INDEX($C$2:$C$5,MATCH($E120,$B$2:$B$5,0))*$I120/SUMIFS($I:$I,$E:$E,$E120,$B:$B,$B120,Q:Q,1)*IF(B120=$B$10,0.9,1),0)</f>
        <v>300</v>
      </c>
      <c r="S120" s="24">
        <f t="shared" si="483"/>
        <v>1</v>
      </c>
      <c r="T120" s="24">
        <f>ROUND(INDEX($C$2:$C$5,MATCH($E120,$B$2:$B$5,0))*$J120/SUMIFS($J:$J,$E:$E,$E120,$B:$B,$B120,S:S,1)*IF(B120=$B$10,0.9,1),0)</f>
        <v>300</v>
      </c>
      <c r="U120" s="24">
        <f t="shared" si="483"/>
        <v>1</v>
      </c>
      <c r="V120" s="24">
        <f>ROUND(INDEX($C$2:$C$5,MATCH($E120,$B$2:$B$5,0))*$K120/SUMIFS($K:$K,$E:$E,$E120,$B:$B,$B120,U:U,1)*IF(B120=$B$10,0.9,1),0)</f>
        <v>300</v>
      </c>
      <c r="W120" s="24">
        <f t="shared" ref="W120:AA120" si="484">IF($L120&lt;=W$8,1,0)</f>
        <v>1</v>
      </c>
      <c r="X120" s="24">
        <f>ROUND(INDEX($C$2:$C$5,MATCH($E120,$B$2:$B$5,0))*$F120/SUMIFS($F:$F,$E:$E,$E120,$B:$B,$B120,W:W,1)*IF(B120=$B$10,0.9,1),0)</f>
        <v>250</v>
      </c>
      <c r="Y120" s="24">
        <f t="shared" si="484"/>
        <v>1</v>
      </c>
      <c r="Z120" s="24">
        <f>ROUND(INDEX($C$2:$C$5,MATCH($E120,$B$2:$B$5,0))*$G120/SUMIFS($G:$G,$E:$E,$E120,$B:$B,$B120,Y:Y,1)*IF(B120=$B$10,0.9,1),0)</f>
        <v>250</v>
      </c>
      <c r="AA120" s="24">
        <f t="shared" si="484"/>
        <v>1</v>
      </c>
      <c r="AB120" s="24">
        <f>ROUND(INDEX($C$2:$C$5,MATCH($E120,$B$2:$B$5,0))*$H120/SUMIFS($H:$H,$E:$E,$E120,$B:$B,$B120,AA:AA,1)*IF(B120=$B$10,0.9,1),0)</f>
        <v>250</v>
      </c>
      <c r="AC120" s="24">
        <f t="shared" ref="AC120:AG120" si="485">IF($L120&lt;=AC$8,1,0)</f>
        <v>1</v>
      </c>
      <c r="AD120" s="24">
        <f>ROUND(INDEX($C$2:$C$5,MATCH($E120,$B$2:$B$5,0))*$F120/SUMIFS($F:$F,$E:$E,$E120,$B:$B,$B120,AC:AC,1)*IF(B120=$B$10,0.9,1),0)</f>
        <v>250</v>
      </c>
      <c r="AE120" s="24">
        <f t="shared" si="485"/>
        <v>1</v>
      </c>
      <c r="AF120" s="24">
        <f>ROUND(INDEX($C$2:$C$5,MATCH($E120,$B$2:$B$5,0))*$G120/SUMIFS($G:$G,$E:$E,$E120,$B:$B,$B120,AE:AE,1)*IF(B120=$B$10,0.9,1),0)</f>
        <v>250</v>
      </c>
      <c r="AG120" s="24">
        <f t="shared" si="485"/>
        <v>1</v>
      </c>
      <c r="AH120" s="24">
        <f>ROUND(INDEX($C$2:$C$5,MATCH($E120,$B$2:$B$5,0))*$H120/SUMIFS($H:$H,$E:$E,$E120,$B:$B,$B120,AG:AG,1)*IF(B120=$B$10,0.9,1),0)</f>
        <v>250</v>
      </c>
      <c r="AI120" s="24">
        <f t="shared" ref="AI120:AM120" si="486">IF($L120&lt;=AI$8,1,0)</f>
        <v>1</v>
      </c>
      <c r="AJ120" s="24">
        <f>ROUND(INDEX($C$2:$C$5,MATCH($E120,$B$2:$B$5,0))*$F120/SUMIFS($F:$F,$E:$E,$E120,$B:$B,$B120,AI:AI,1)*IF(B120=$B$10,0.9,1),0)</f>
        <v>250</v>
      </c>
      <c r="AK120" s="24">
        <f t="shared" si="486"/>
        <v>1</v>
      </c>
      <c r="AL120" s="24">
        <f>ROUND(INDEX($C$2:$C$5,MATCH($E120,$B$2:$B$5,0))*$G120/SUMIFS($G:$G,$E:$E,$E120,$B:$B,$B120,AK:AK,1)*IF(B120=$B$10,0.9,1),0)</f>
        <v>250</v>
      </c>
      <c r="AM120" s="24">
        <f t="shared" si="486"/>
        <v>1</v>
      </c>
      <c r="AN120" s="24">
        <f>ROUND(INDEX($C$2:$C$5,MATCH($E120,$B$2:$B$5,0))*$H120/SUMIFS($H:$H,$E:$E,$E120,$B:$B,$B120,AM:AM,1)*IF(B120=$B$10,0.9,1),0)</f>
        <v>250</v>
      </c>
      <c r="AX120" s="4" t="str">
        <f t="shared" si="288"/>
        <v>1,250</v>
      </c>
      <c r="AY120" s="4" t="str">
        <f t="shared" si="289"/>
        <v>1,300</v>
      </c>
      <c r="AZ120" s="4" t="str">
        <f t="shared" si="290"/>
        <v>1,300</v>
      </c>
      <c r="BA120" s="4" t="str">
        <f t="shared" si="291"/>
        <v>1,300</v>
      </c>
      <c r="BB120" s="4" t="str">
        <f t="shared" si="292"/>
        <v>1,250</v>
      </c>
      <c r="BC120" s="4" t="str">
        <f t="shared" si="293"/>
        <v>1,250</v>
      </c>
      <c r="BD120" s="4" t="str">
        <f t="shared" si="294"/>
        <v>1,250</v>
      </c>
      <c r="BE120" s="4" t="str">
        <f t="shared" si="295"/>
        <v>1,250</v>
      </c>
      <c r="BF120" s="4" t="str">
        <f t="shared" si="296"/>
        <v>1,250</v>
      </c>
      <c r="BG120" s="4" t="str">
        <f t="shared" si="297"/>
        <v>1,250</v>
      </c>
      <c r="BH120" s="4" t="str">
        <f t="shared" si="298"/>
        <v>1,250</v>
      </c>
      <c r="BI120" s="4" t="str">
        <f t="shared" si="299"/>
        <v>1,250</v>
      </c>
      <c r="BJ120" s="4" t="str">
        <f t="shared" si="300"/>
        <v>1,250</v>
      </c>
    </row>
    <row r="121" customHeight="1" spans="1:62">
      <c r="A121" s="35">
        <v>723</v>
      </c>
      <c r="B121" s="40" t="s">
        <v>69</v>
      </c>
      <c r="C121" s="40" t="s">
        <v>218</v>
      </c>
      <c r="D121" s="46" t="s">
        <v>368</v>
      </c>
      <c r="E121" s="50">
        <v>3</v>
      </c>
      <c r="F121" s="35">
        <v>1</v>
      </c>
      <c r="G121" s="35">
        <f t="shared" si="301"/>
        <v>1</v>
      </c>
      <c r="H121" s="35">
        <v>1</v>
      </c>
      <c r="I121" s="35">
        <v>1</v>
      </c>
      <c r="J121" s="35">
        <v>1</v>
      </c>
      <c r="K121" s="35">
        <v>1</v>
      </c>
      <c r="L121" s="35">
        <v>1</v>
      </c>
      <c r="M121" s="35"/>
      <c r="N121">
        <f t="shared" si="302"/>
        <v>1500</v>
      </c>
      <c r="O121" s="35">
        <v>1</v>
      </c>
      <c r="P121" s="24">
        <f>ROUND(INDEX($C$2:$C$5,MATCH($E121,$B$2:$B$5,0))*$F121/SUMIFS($F:$F,$E:$E,$E121,$B:$B,$B121,O:O,1)*IF(B121=$B$10,0.9,1),0)</f>
        <v>250</v>
      </c>
      <c r="Q121" s="24">
        <f t="shared" ref="Q121:U121" si="487">IF($L121&lt;=Q$8,1,0)</f>
        <v>1</v>
      </c>
      <c r="R121" s="24">
        <f>ROUND(INDEX($C$2:$C$5,MATCH($E121,$B$2:$B$5,0))*$I121/SUMIFS($I:$I,$E:$E,$E121,$B:$B,$B121,Q:Q,1)*IF(B121=$B$10,0.9,1),0)</f>
        <v>300</v>
      </c>
      <c r="S121" s="24">
        <f t="shared" si="487"/>
        <v>1</v>
      </c>
      <c r="T121" s="24">
        <f>ROUND(INDEX($C$2:$C$5,MATCH($E121,$B$2:$B$5,0))*$J121/SUMIFS($J:$J,$E:$E,$E121,$B:$B,$B121,S:S,1)*IF(B121=$B$10,0.9,1),0)</f>
        <v>300</v>
      </c>
      <c r="U121" s="24">
        <f t="shared" si="487"/>
        <v>1</v>
      </c>
      <c r="V121" s="24">
        <f>ROUND(INDEX($C$2:$C$5,MATCH($E121,$B$2:$B$5,0))*$K121/SUMIFS($K:$K,$E:$E,$E121,$B:$B,$B121,U:U,1)*IF(B121=$B$10,0.9,1),0)</f>
        <v>300</v>
      </c>
      <c r="W121" s="24">
        <f t="shared" ref="W121:AA121" si="488">IF($L121&lt;=W$8,1,0)</f>
        <v>1</v>
      </c>
      <c r="X121" s="24">
        <f>ROUND(INDEX($C$2:$C$5,MATCH($E121,$B$2:$B$5,0))*$F121/SUMIFS($F:$F,$E:$E,$E121,$B:$B,$B121,W:W,1)*IF(B121=$B$10,0.9,1),0)</f>
        <v>250</v>
      </c>
      <c r="Y121" s="24">
        <f t="shared" si="488"/>
        <v>1</v>
      </c>
      <c r="Z121" s="24">
        <f>ROUND(INDEX($C$2:$C$5,MATCH($E121,$B$2:$B$5,0))*$G121/SUMIFS($G:$G,$E:$E,$E121,$B:$B,$B121,Y:Y,1)*IF(B121=$B$10,0.9,1),0)</f>
        <v>250</v>
      </c>
      <c r="AA121" s="24">
        <f t="shared" si="488"/>
        <v>1</v>
      </c>
      <c r="AB121" s="24">
        <f>ROUND(INDEX($C$2:$C$5,MATCH($E121,$B$2:$B$5,0))*$H121/SUMIFS($H:$H,$E:$E,$E121,$B:$B,$B121,AA:AA,1)*IF(B121=$B$10,0.9,1),0)</f>
        <v>250</v>
      </c>
      <c r="AC121" s="24">
        <f t="shared" ref="AC121:AG121" si="489">IF($L121&lt;=AC$8,1,0)</f>
        <v>1</v>
      </c>
      <c r="AD121" s="24">
        <f>ROUND(INDEX($C$2:$C$5,MATCH($E121,$B$2:$B$5,0))*$F121/SUMIFS($F:$F,$E:$E,$E121,$B:$B,$B121,AC:AC,1)*IF(B121=$B$10,0.9,1),0)</f>
        <v>250</v>
      </c>
      <c r="AE121" s="24">
        <f t="shared" si="489"/>
        <v>1</v>
      </c>
      <c r="AF121" s="24">
        <f>ROUND(INDEX($C$2:$C$5,MATCH($E121,$B$2:$B$5,0))*$G121/SUMIFS($G:$G,$E:$E,$E121,$B:$B,$B121,AE:AE,1)*IF(B121=$B$10,0.9,1),0)</f>
        <v>250</v>
      </c>
      <c r="AG121" s="24">
        <f t="shared" si="489"/>
        <v>1</v>
      </c>
      <c r="AH121" s="24">
        <f>ROUND(INDEX($C$2:$C$5,MATCH($E121,$B$2:$B$5,0))*$H121/SUMIFS($H:$H,$E:$E,$E121,$B:$B,$B121,AG:AG,1)*IF(B121=$B$10,0.9,1),0)</f>
        <v>250</v>
      </c>
      <c r="AI121" s="24">
        <f t="shared" ref="AI121:AM121" si="490">IF($L121&lt;=AI$8,1,0)</f>
        <v>1</v>
      </c>
      <c r="AJ121" s="24">
        <f>ROUND(INDEX($C$2:$C$5,MATCH($E121,$B$2:$B$5,0))*$F121/SUMIFS($F:$F,$E:$E,$E121,$B:$B,$B121,AI:AI,1)*IF(B121=$B$10,0.9,1),0)</f>
        <v>250</v>
      </c>
      <c r="AK121" s="24">
        <f t="shared" si="490"/>
        <v>1</v>
      </c>
      <c r="AL121" s="24">
        <f>ROUND(INDEX($C$2:$C$5,MATCH($E121,$B$2:$B$5,0))*$G121/SUMIFS($G:$G,$E:$E,$E121,$B:$B,$B121,AK:AK,1)*IF(B121=$B$10,0.9,1),0)</f>
        <v>250</v>
      </c>
      <c r="AM121" s="24">
        <f t="shared" si="490"/>
        <v>1</v>
      </c>
      <c r="AN121" s="24">
        <f>ROUND(INDEX($C$2:$C$5,MATCH($E121,$B$2:$B$5,0))*$H121/SUMIFS($H:$H,$E:$E,$E121,$B:$B,$B121,AM:AM,1)*IF(B121=$B$10,0.9,1),0)</f>
        <v>250</v>
      </c>
      <c r="AX121" s="4" t="str">
        <f t="shared" si="288"/>
        <v>1,250</v>
      </c>
      <c r="AY121" s="4" t="str">
        <f t="shared" si="289"/>
        <v>1,300</v>
      </c>
      <c r="AZ121" s="4" t="str">
        <f t="shared" si="290"/>
        <v>1,300</v>
      </c>
      <c r="BA121" s="4" t="str">
        <f t="shared" si="291"/>
        <v>1,300</v>
      </c>
      <c r="BB121" s="4" t="str">
        <f t="shared" si="292"/>
        <v>1,250</v>
      </c>
      <c r="BC121" s="4" t="str">
        <f t="shared" si="293"/>
        <v>1,250</v>
      </c>
      <c r="BD121" s="4" t="str">
        <f t="shared" si="294"/>
        <v>1,250</v>
      </c>
      <c r="BE121" s="4" t="str">
        <f t="shared" si="295"/>
        <v>1,250</v>
      </c>
      <c r="BF121" s="4" t="str">
        <f t="shared" si="296"/>
        <v>1,250</v>
      </c>
      <c r="BG121" s="4" t="str">
        <f t="shared" si="297"/>
        <v>1,250</v>
      </c>
      <c r="BH121" s="4" t="str">
        <f t="shared" si="298"/>
        <v>1,250</v>
      </c>
      <c r="BI121" s="4" t="str">
        <f t="shared" si="299"/>
        <v>1,250</v>
      </c>
      <c r="BJ121" s="4" t="str">
        <f t="shared" si="300"/>
        <v>1,250</v>
      </c>
    </row>
    <row r="122" customHeight="1" spans="1:62">
      <c r="A122" s="35">
        <v>724</v>
      </c>
      <c r="B122" s="60" t="s">
        <v>69</v>
      </c>
      <c r="C122" s="40"/>
      <c r="D122" s="46" t="s">
        <v>369</v>
      </c>
      <c r="E122" s="35">
        <v>3</v>
      </c>
      <c r="F122" s="35">
        <v>1</v>
      </c>
      <c r="G122" s="35">
        <f t="shared" si="301"/>
        <v>1</v>
      </c>
      <c r="H122" s="35">
        <v>1</v>
      </c>
      <c r="I122" s="35">
        <v>1</v>
      </c>
      <c r="J122" s="35">
        <v>1</v>
      </c>
      <c r="K122" s="35">
        <v>1</v>
      </c>
      <c r="L122" s="35">
        <v>1</v>
      </c>
      <c r="M122" s="35"/>
      <c r="N122">
        <f t="shared" si="302"/>
        <v>1500</v>
      </c>
      <c r="O122" s="35">
        <v>1</v>
      </c>
      <c r="P122" s="24">
        <f>ROUND(INDEX($C$2:$C$5,MATCH($E122,$B$2:$B$5,0))*$F122/SUMIFS($F:$F,$E:$E,$E122,$B:$B,$B122,O:O,1)*IF(B122=$B$10,0.9,1),0)</f>
        <v>250</v>
      </c>
      <c r="Q122" s="24">
        <f t="shared" ref="Q122:U122" si="491">IF($L122&lt;=Q$8,1,0)</f>
        <v>1</v>
      </c>
      <c r="R122" s="24">
        <f>ROUND(INDEX($C$2:$C$5,MATCH($E122,$B$2:$B$5,0))*$I122/SUMIFS($I:$I,$E:$E,$E122,$B:$B,$B122,Q:Q,1)*IF(B122=$B$10,0.9,1),0)</f>
        <v>300</v>
      </c>
      <c r="S122" s="24">
        <f t="shared" si="491"/>
        <v>1</v>
      </c>
      <c r="T122" s="24">
        <f>ROUND(INDEX($C$2:$C$5,MATCH($E122,$B$2:$B$5,0))*$J122/SUMIFS($J:$J,$E:$E,$E122,$B:$B,$B122,S:S,1)*IF(B122=$B$10,0.9,1),0)</f>
        <v>300</v>
      </c>
      <c r="U122" s="24">
        <f t="shared" si="491"/>
        <v>1</v>
      </c>
      <c r="V122" s="24">
        <f>ROUND(INDEX($C$2:$C$5,MATCH($E122,$B$2:$B$5,0))*$K122/SUMIFS($K:$K,$E:$E,$E122,$B:$B,$B122,U:U,1)*IF(B122=$B$10,0.9,1),0)</f>
        <v>300</v>
      </c>
      <c r="W122" s="24">
        <f t="shared" ref="W122:AA122" si="492">IF($L122&lt;=W$8,1,0)</f>
        <v>1</v>
      </c>
      <c r="X122" s="24">
        <f>ROUND(INDEX($C$2:$C$5,MATCH($E122,$B$2:$B$5,0))*$F122/SUMIFS($F:$F,$E:$E,$E122,$B:$B,$B122,W:W,1)*IF(B122=$B$10,0.9,1),0)</f>
        <v>250</v>
      </c>
      <c r="Y122" s="24">
        <f t="shared" si="492"/>
        <v>1</v>
      </c>
      <c r="Z122" s="24">
        <f>ROUND(INDEX($C$2:$C$5,MATCH($E122,$B$2:$B$5,0))*$G122/SUMIFS($G:$G,$E:$E,$E122,$B:$B,$B122,Y:Y,1)*IF(B122=$B$10,0.9,1),0)</f>
        <v>250</v>
      </c>
      <c r="AA122" s="24">
        <f t="shared" si="492"/>
        <v>1</v>
      </c>
      <c r="AB122" s="24">
        <f>ROUND(INDEX($C$2:$C$5,MATCH($E122,$B$2:$B$5,0))*$H122/SUMIFS($H:$H,$E:$E,$E122,$B:$B,$B122,AA:AA,1)*IF(B122=$B$10,0.9,1),0)</f>
        <v>250</v>
      </c>
      <c r="AC122" s="24">
        <f t="shared" ref="AC122:AG122" si="493">IF($L122&lt;=AC$8,1,0)</f>
        <v>1</v>
      </c>
      <c r="AD122" s="24">
        <f>ROUND(INDEX($C$2:$C$5,MATCH($E122,$B$2:$B$5,0))*$F122/SUMIFS($F:$F,$E:$E,$E122,$B:$B,$B122,AC:AC,1)*IF(B122=$B$10,0.9,1),0)</f>
        <v>250</v>
      </c>
      <c r="AE122" s="24">
        <f t="shared" si="493"/>
        <v>1</v>
      </c>
      <c r="AF122" s="24">
        <f>ROUND(INDEX($C$2:$C$5,MATCH($E122,$B$2:$B$5,0))*$G122/SUMIFS($G:$G,$E:$E,$E122,$B:$B,$B122,AE:AE,1)*IF(B122=$B$10,0.9,1),0)</f>
        <v>250</v>
      </c>
      <c r="AG122" s="24">
        <f t="shared" si="493"/>
        <v>1</v>
      </c>
      <c r="AH122" s="24">
        <f>ROUND(INDEX($C$2:$C$5,MATCH($E122,$B$2:$B$5,0))*$H122/SUMIFS($H:$H,$E:$E,$E122,$B:$B,$B122,AG:AG,1)*IF(B122=$B$10,0.9,1),0)</f>
        <v>250</v>
      </c>
      <c r="AI122" s="24">
        <f t="shared" ref="AI122:AM122" si="494">IF($L122&lt;=AI$8,1,0)</f>
        <v>1</v>
      </c>
      <c r="AJ122" s="24">
        <f>ROUND(INDEX($C$2:$C$5,MATCH($E122,$B$2:$B$5,0))*$F122/SUMIFS($F:$F,$E:$E,$E122,$B:$B,$B122,AI:AI,1)*IF(B122=$B$10,0.9,1),0)</f>
        <v>250</v>
      </c>
      <c r="AK122" s="24">
        <f t="shared" si="494"/>
        <v>1</v>
      </c>
      <c r="AL122" s="24">
        <f>ROUND(INDEX($C$2:$C$5,MATCH($E122,$B$2:$B$5,0))*$G122/SUMIFS($G:$G,$E:$E,$E122,$B:$B,$B122,AK:AK,1)*IF(B122=$B$10,0.9,1),0)</f>
        <v>250</v>
      </c>
      <c r="AM122" s="24">
        <f t="shared" si="494"/>
        <v>1</v>
      </c>
      <c r="AN122" s="24">
        <f>ROUND(INDEX($C$2:$C$5,MATCH($E122,$B$2:$B$5,0))*$H122/SUMIFS($H:$H,$E:$E,$E122,$B:$B,$B122,AM:AM,1)*IF(B122=$B$10,0.9,1),0)</f>
        <v>250</v>
      </c>
      <c r="AX122" s="4" t="str">
        <f t="shared" si="288"/>
        <v>1,250</v>
      </c>
      <c r="AY122" s="4" t="str">
        <f t="shared" si="289"/>
        <v>1,300</v>
      </c>
      <c r="AZ122" s="4" t="str">
        <f t="shared" si="290"/>
        <v>1,300</v>
      </c>
      <c r="BA122" s="4" t="str">
        <f t="shared" si="291"/>
        <v>1,300</v>
      </c>
      <c r="BB122" s="4" t="str">
        <f t="shared" si="292"/>
        <v>1,250</v>
      </c>
      <c r="BC122" s="4" t="str">
        <f t="shared" si="293"/>
        <v>1,250</v>
      </c>
      <c r="BD122" s="4" t="str">
        <f t="shared" si="294"/>
        <v>1,250</v>
      </c>
      <c r="BE122" s="4" t="str">
        <f t="shared" si="295"/>
        <v>1,250</v>
      </c>
      <c r="BF122" s="4" t="str">
        <f t="shared" si="296"/>
        <v>1,250</v>
      </c>
      <c r="BG122" s="4" t="str">
        <f t="shared" si="297"/>
        <v>1,250</v>
      </c>
      <c r="BH122" s="4" t="str">
        <f t="shared" si="298"/>
        <v>1,250</v>
      </c>
      <c r="BI122" s="4" t="str">
        <f t="shared" si="299"/>
        <v>1,250</v>
      </c>
      <c r="BJ122" s="4" t="str">
        <f t="shared" si="300"/>
        <v>1,250</v>
      </c>
    </row>
    <row r="123" customHeight="1" spans="1:62">
      <c r="A123" s="35">
        <v>731</v>
      </c>
      <c r="B123" s="60" t="s">
        <v>69</v>
      </c>
      <c r="C123" s="40"/>
      <c r="D123" s="44" t="s">
        <v>390</v>
      </c>
      <c r="E123" s="43">
        <v>2</v>
      </c>
      <c r="F123" s="35">
        <v>1</v>
      </c>
      <c r="G123" s="35">
        <f t="shared" si="301"/>
        <v>1</v>
      </c>
      <c r="H123" s="35">
        <v>1</v>
      </c>
      <c r="I123" s="35">
        <v>1</v>
      </c>
      <c r="J123" s="35">
        <v>1</v>
      </c>
      <c r="K123" s="35">
        <v>1</v>
      </c>
      <c r="L123" s="35">
        <v>1</v>
      </c>
      <c r="M123" s="35"/>
      <c r="N123">
        <f t="shared" si="302"/>
        <v>4500</v>
      </c>
      <c r="O123" s="35">
        <v>1</v>
      </c>
      <c r="P123" s="24">
        <f>ROUND(INDEX($C$2:$C$5,MATCH($E123,$B$2:$B$5,0))*$F123/SUMIFS($F:$F,$E:$E,$E123,$B:$B,$B123,O:O,1)*IF(B123=$B$10,0.9,1),0)</f>
        <v>1125</v>
      </c>
      <c r="Q123" s="24">
        <f t="shared" ref="Q123:U123" si="495">IF($L123&lt;=Q$8,1,0)</f>
        <v>1</v>
      </c>
      <c r="R123" s="24">
        <f>ROUND(INDEX($C$2:$C$5,MATCH($E123,$B$2:$B$5,0))*$I123/SUMIFS($I:$I,$E:$E,$E123,$B:$B,$B123,Q:Q,1)*IF(B123=$B$10,0.9,1),0)</f>
        <v>1500</v>
      </c>
      <c r="S123" s="24">
        <f t="shared" si="495"/>
        <v>1</v>
      </c>
      <c r="T123" s="24">
        <f>ROUND(INDEX($C$2:$C$5,MATCH($E123,$B$2:$B$5,0))*$J123/SUMIFS($J:$J,$E:$E,$E123,$B:$B,$B123,S:S,1)*IF(B123=$B$10,0.9,1),0)</f>
        <v>1500</v>
      </c>
      <c r="U123" s="24">
        <f t="shared" si="495"/>
        <v>1</v>
      </c>
      <c r="V123" s="24">
        <f>ROUND(INDEX($C$2:$C$5,MATCH($E123,$B$2:$B$5,0))*$K123/SUMIFS($K:$K,$E:$E,$E123,$B:$B,$B123,U:U,1)*IF(B123=$B$10,0.9,1),0)</f>
        <v>1500</v>
      </c>
      <c r="W123" s="24">
        <f t="shared" ref="W123:AA123" si="496">IF($L123&lt;=W$8,1,0)</f>
        <v>1</v>
      </c>
      <c r="X123" s="24">
        <f>ROUND(INDEX($C$2:$C$5,MATCH($E123,$B$2:$B$5,0))*$F123/SUMIFS($F:$F,$E:$E,$E123,$B:$B,$B123,W:W,1)*IF(B123=$B$10,0.9,1),0)</f>
        <v>1125</v>
      </c>
      <c r="Y123" s="24">
        <f t="shared" si="496"/>
        <v>1</v>
      </c>
      <c r="Z123" s="24">
        <f>ROUND(INDEX($C$2:$C$5,MATCH($E123,$B$2:$B$5,0))*$G123/SUMIFS($G:$G,$E:$E,$E123,$B:$B,$B123,Y:Y,1)*IF(B123=$B$10,0.9,1),0)</f>
        <v>1125</v>
      </c>
      <c r="AA123" s="24">
        <f t="shared" si="496"/>
        <v>1</v>
      </c>
      <c r="AB123" s="24">
        <f>ROUND(INDEX($C$2:$C$5,MATCH($E123,$B$2:$B$5,0))*$H123/SUMIFS($H:$H,$E:$E,$E123,$B:$B,$B123,AA:AA,1)*IF(B123=$B$10,0.9,1),0)</f>
        <v>1125</v>
      </c>
      <c r="AC123" s="24">
        <f t="shared" ref="AC123:AG123" si="497">IF($L123&lt;=AC$8,1,0)</f>
        <v>1</v>
      </c>
      <c r="AD123" s="24">
        <f>ROUND(INDEX($C$2:$C$5,MATCH($E123,$B$2:$B$5,0))*$F123/SUMIFS($F:$F,$E:$E,$E123,$B:$B,$B123,AC:AC,1)*IF(B123=$B$10,0.9,1),0)</f>
        <v>1125</v>
      </c>
      <c r="AE123" s="24">
        <f t="shared" si="497"/>
        <v>1</v>
      </c>
      <c r="AF123" s="24">
        <f>ROUND(INDEX($C$2:$C$5,MATCH($E123,$B$2:$B$5,0))*$G123/SUMIFS($G:$G,$E:$E,$E123,$B:$B,$B123,AE:AE,1)*IF(B123=$B$10,0.9,1),0)</f>
        <v>1125</v>
      </c>
      <c r="AG123" s="24">
        <f t="shared" si="497"/>
        <v>1</v>
      </c>
      <c r="AH123" s="24">
        <f>ROUND(INDEX($C$2:$C$5,MATCH($E123,$B$2:$B$5,0))*$H123/SUMIFS($H:$H,$E:$E,$E123,$B:$B,$B123,AG:AG,1)*IF(B123=$B$10,0.9,1),0)</f>
        <v>1125</v>
      </c>
      <c r="AI123" s="24">
        <f t="shared" ref="AI123:AM123" si="498">IF($L123&lt;=AI$8,1,0)</f>
        <v>1</v>
      </c>
      <c r="AJ123" s="24">
        <f>ROUND(INDEX($C$2:$C$5,MATCH($E123,$B$2:$B$5,0))*$F123/SUMIFS($F:$F,$E:$E,$E123,$B:$B,$B123,AI:AI,1)*IF(B123=$B$10,0.9,1),0)</f>
        <v>1125</v>
      </c>
      <c r="AK123" s="24">
        <f t="shared" si="498"/>
        <v>1</v>
      </c>
      <c r="AL123" s="24">
        <f>ROUND(INDEX($C$2:$C$5,MATCH($E123,$B$2:$B$5,0))*$G123/SUMIFS($G:$G,$E:$E,$E123,$B:$B,$B123,AK:AK,1)*IF(B123=$B$10,0.9,1),0)</f>
        <v>1125</v>
      </c>
      <c r="AM123" s="24">
        <f t="shared" si="498"/>
        <v>1</v>
      </c>
      <c r="AN123" s="24">
        <f>ROUND(INDEX($C$2:$C$5,MATCH($E123,$B$2:$B$5,0))*$H123/SUMIFS($H:$H,$E:$E,$E123,$B:$B,$B123,AM:AM,1)*IF(B123=$B$10,0.9,1),0)</f>
        <v>1125</v>
      </c>
      <c r="AX123" s="4" t="str">
        <f t="shared" si="288"/>
        <v>1,1125</v>
      </c>
      <c r="AY123" s="4" t="str">
        <f t="shared" si="289"/>
        <v>1,1500</v>
      </c>
      <c r="AZ123" s="4" t="str">
        <f t="shared" si="290"/>
        <v>1,1500</v>
      </c>
      <c r="BA123" s="4" t="str">
        <f t="shared" si="291"/>
        <v>1,1500</v>
      </c>
      <c r="BB123" s="4" t="str">
        <f t="shared" si="292"/>
        <v>1,1125</v>
      </c>
      <c r="BC123" s="4" t="str">
        <f t="shared" si="293"/>
        <v>1,1125</v>
      </c>
      <c r="BD123" s="4" t="str">
        <f t="shared" si="294"/>
        <v>1,1125</v>
      </c>
      <c r="BE123" s="4" t="str">
        <f t="shared" si="295"/>
        <v>1,1125</v>
      </c>
      <c r="BF123" s="4" t="str">
        <f t="shared" si="296"/>
        <v>1,1125</v>
      </c>
      <c r="BG123" s="4" t="str">
        <f t="shared" si="297"/>
        <v>1,1125</v>
      </c>
      <c r="BH123" s="4" t="str">
        <f t="shared" si="298"/>
        <v>1,1125</v>
      </c>
      <c r="BI123" s="4" t="str">
        <f t="shared" si="299"/>
        <v>1,1125</v>
      </c>
      <c r="BJ123" s="4" t="str">
        <f t="shared" si="300"/>
        <v>1,1125</v>
      </c>
    </row>
    <row r="124" customHeight="1" spans="1:62">
      <c r="A124" s="35">
        <v>732</v>
      </c>
      <c r="B124" s="60" t="s">
        <v>69</v>
      </c>
      <c r="C124" s="40"/>
      <c r="D124" s="44" t="s">
        <v>391</v>
      </c>
      <c r="E124" s="43">
        <v>2</v>
      </c>
      <c r="F124" s="35">
        <v>1</v>
      </c>
      <c r="G124" s="35">
        <f t="shared" si="301"/>
        <v>1</v>
      </c>
      <c r="H124" s="35">
        <v>1</v>
      </c>
      <c r="I124" s="35">
        <v>1</v>
      </c>
      <c r="J124" s="35">
        <v>1</v>
      </c>
      <c r="K124" s="35">
        <v>1</v>
      </c>
      <c r="L124" s="35">
        <v>2</v>
      </c>
      <c r="M124" s="35"/>
      <c r="N124">
        <f t="shared" si="302"/>
        <v>4500</v>
      </c>
      <c r="O124" s="35">
        <v>1</v>
      </c>
      <c r="P124" s="24">
        <f>ROUND(INDEX($C$2:$C$5,MATCH($E124,$B$2:$B$5,0))*$F124/SUMIFS($F:$F,$E:$E,$E124,$B:$B,$B124,O:O,1)*IF(B124=$B$10,0.9,1),0)</f>
        <v>1125</v>
      </c>
      <c r="Q124" s="24">
        <f t="shared" ref="Q124:U124" si="499">IF($L124&lt;=Q$8,1,0)</f>
        <v>0</v>
      </c>
      <c r="R124" s="24">
        <f>ROUND(INDEX($C$2:$C$5,MATCH($E124,$B$2:$B$5,0))*$I124/SUMIFS($I:$I,$E:$E,$E124,$B:$B,$B124,Q:Q,1)*IF(B124=$B$10,0.9,1),0)</f>
        <v>1500</v>
      </c>
      <c r="S124" s="24">
        <f t="shared" si="499"/>
        <v>0</v>
      </c>
      <c r="T124" s="24">
        <f>ROUND(INDEX($C$2:$C$5,MATCH($E124,$B$2:$B$5,0))*$J124/SUMIFS($J:$J,$E:$E,$E124,$B:$B,$B124,S:S,1)*IF(B124=$B$10,0.9,1),0)</f>
        <v>1500</v>
      </c>
      <c r="U124" s="24">
        <f t="shared" si="499"/>
        <v>0</v>
      </c>
      <c r="V124" s="24">
        <f>ROUND(INDEX($C$2:$C$5,MATCH($E124,$B$2:$B$5,0))*$K124/SUMIFS($K:$K,$E:$E,$E124,$B:$B,$B124,U:U,1)*IF(B124=$B$10,0.9,1),0)</f>
        <v>1500</v>
      </c>
      <c r="W124" s="24">
        <f t="shared" ref="W124:AA124" si="500">IF($L124&lt;=W$8,1,0)</f>
        <v>1</v>
      </c>
      <c r="X124" s="24">
        <f>ROUND(INDEX($C$2:$C$5,MATCH($E124,$B$2:$B$5,0))*$F124/SUMIFS($F:$F,$E:$E,$E124,$B:$B,$B124,W:W,1)*IF(B124=$B$10,0.9,1),0)</f>
        <v>1125</v>
      </c>
      <c r="Y124" s="24">
        <f t="shared" si="500"/>
        <v>1</v>
      </c>
      <c r="Z124" s="24">
        <f>ROUND(INDEX($C$2:$C$5,MATCH($E124,$B$2:$B$5,0))*$G124/SUMIFS($G:$G,$E:$E,$E124,$B:$B,$B124,Y:Y,1)*IF(B124=$B$10,0.9,1),0)</f>
        <v>1125</v>
      </c>
      <c r="AA124" s="24">
        <f t="shared" si="500"/>
        <v>1</v>
      </c>
      <c r="AB124" s="24">
        <f>ROUND(INDEX($C$2:$C$5,MATCH($E124,$B$2:$B$5,0))*$H124/SUMIFS($H:$H,$E:$E,$E124,$B:$B,$B124,AA:AA,1)*IF(B124=$B$10,0.9,1),0)</f>
        <v>1125</v>
      </c>
      <c r="AC124" s="24">
        <f t="shared" ref="AC124:AG124" si="501">IF($L124&lt;=AC$8,1,0)</f>
        <v>1</v>
      </c>
      <c r="AD124" s="24">
        <f>ROUND(INDEX($C$2:$C$5,MATCH($E124,$B$2:$B$5,0))*$F124/SUMIFS($F:$F,$E:$E,$E124,$B:$B,$B124,AC:AC,1)*IF(B124=$B$10,0.9,1),0)</f>
        <v>1125</v>
      </c>
      <c r="AE124" s="24">
        <f t="shared" si="501"/>
        <v>1</v>
      </c>
      <c r="AF124" s="24">
        <f>ROUND(INDEX($C$2:$C$5,MATCH($E124,$B$2:$B$5,0))*$G124/SUMIFS($G:$G,$E:$E,$E124,$B:$B,$B124,AE:AE,1)*IF(B124=$B$10,0.9,1),0)</f>
        <v>1125</v>
      </c>
      <c r="AG124" s="24">
        <f t="shared" si="501"/>
        <v>1</v>
      </c>
      <c r="AH124" s="24">
        <f>ROUND(INDEX($C$2:$C$5,MATCH($E124,$B$2:$B$5,0))*$H124/SUMIFS($H:$H,$E:$E,$E124,$B:$B,$B124,AG:AG,1)*IF(B124=$B$10,0.9,1),0)</f>
        <v>1125</v>
      </c>
      <c r="AI124" s="24">
        <f t="shared" ref="AI124:AM124" si="502">IF($L124&lt;=AI$8,1,0)</f>
        <v>1</v>
      </c>
      <c r="AJ124" s="24">
        <f>ROUND(INDEX($C$2:$C$5,MATCH($E124,$B$2:$B$5,0))*$F124/SUMIFS($F:$F,$E:$E,$E124,$B:$B,$B124,AI:AI,1)*IF(B124=$B$10,0.9,1),0)</f>
        <v>1125</v>
      </c>
      <c r="AK124" s="24">
        <f t="shared" si="502"/>
        <v>1</v>
      </c>
      <c r="AL124" s="24">
        <f>ROUND(INDEX($C$2:$C$5,MATCH($E124,$B$2:$B$5,0))*$G124/SUMIFS($G:$G,$E:$E,$E124,$B:$B,$B124,AK:AK,1)*IF(B124=$B$10,0.9,1),0)</f>
        <v>1125</v>
      </c>
      <c r="AM124" s="24">
        <f t="shared" si="502"/>
        <v>1</v>
      </c>
      <c r="AN124" s="24">
        <f>ROUND(INDEX($C$2:$C$5,MATCH($E124,$B$2:$B$5,0))*$H124/SUMIFS($H:$H,$E:$E,$E124,$B:$B,$B124,AM:AM,1)*IF(B124=$B$10,0.9,1),0)</f>
        <v>1125</v>
      </c>
      <c r="AX124" s="4" t="str">
        <f t="shared" si="288"/>
        <v>1,1125</v>
      </c>
      <c r="AY124" s="4" t="str">
        <f t="shared" si="289"/>
        <v>0,1500</v>
      </c>
      <c r="AZ124" s="4" t="str">
        <f t="shared" si="290"/>
        <v>0,1500</v>
      </c>
      <c r="BA124" s="4" t="str">
        <f t="shared" si="291"/>
        <v>0,1500</v>
      </c>
      <c r="BB124" s="4" t="str">
        <f t="shared" si="292"/>
        <v>1,1125</v>
      </c>
      <c r="BC124" s="4" t="str">
        <f t="shared" si="293"/>
        <v>1,1125</v>
      </c>
      <c r="BD124" s="4" t="str">
        <f t="shared" si="294"/>
        <v>1,1125</v>
      </c>
      <c r="BE124" s="4" t="str">
        <f t="shared" si="295"/>
        <v>1,1125</v>
      </c>
      <c r="BF124" s="4" t="str">
        <f t="shared" si="296"/>
        <v>1,1125</v>
      </c>
      <c r="BG124" s="4" t="str">
        <f t="shared" si="297"/>
        <v>1,1125</v>
      </c>
      <c r="BH124" s="4" t="str">
        <f t="shared" si="298"/>
        <v>1,1125</v>
      </c>
      <c r="BI124" s="4" t="str">
        <f t="shared" si="299"/>
        <v>1,1125</v>
      </c>
      <c r="BJ124" s="4" t="str">
        <f t="shared" si="300"/>
        <v>1,1125</v>
      </c>
    </row>
    <row r="125" customHeight="1" spans="1:62">
      <c r="A125" s="35">
        <v>741</v>
      </c>
      <c r="B125" s="60" t="s">
        <v>69</v>
      </c>
      <c r="C125" s="40"/>
      <c r="D125" s="46" t="s">
        <v>392</v>
      </c>
      <c r="E125" s="43">
        <v>3</v>
      </c>
      <c r="F125" s="35">
        <v>1</v>
      </c>
      <c r="G125" s="35">
        <f t="shared" si="301"/>
        <v>1</v>
      </c>
      <c r="H125" s="35">
        <v>1</v>
      </c>
      <c r="I125" s="35">
        <v>1</v>
      </c>
      <c r="J125" s="35">
        <v>1</v>
      </c>
      <c r="K125" s="35">
        <v>1</v>
      </c>
      <c r="L125" s="35">
        <v>1</v>
      </c>
      <c r="M125" s="35"/>
      <c r="N125">
        <f t="shared" si="302"/>
        <v>1500</v>
      </c>
      <c r="O125" s="35">
        <v>1</v>
      </c>
      <c r="P125" s="24">
        <f>ROUND(INDEX($C$2:$C$5,MATCH($E125,$B$2:$B$5,0))*$F125/SUMIFS($F:$F,$E:$E,$E125,$B:$B,$B125,O:O,1)*IF(B125=$B$10,0.9,1),0)</f>
        <v>250</v>
      </c>
      <c r="Q125" s="24">
        <f t="shared" ref="Q125:U125" si="503">IF($L125&lt;=Q$8,1,0)</f>
        <v>1</v>
      </c>
      <c r="R125" s="24">
        <f>ROUND(INDEX($C$2:$C$5,MATCH($E125,$B$2:$B$5,0))*$I125/SUMIFS($I:$I,$E:$E,$E125,$B:$B,$B125,Q:Q,1)*IF(B125=$B$10,0.9,1),0)</f>
        <v>300</v>
      </c>
      <c r="S125" s="24">
        <f t="shared" si="503"/>
        <v>1</v>
      </c>
      <c r="T125" s="24">
        <f>ROUND(INDEX($C$2:$C$5,MATCH($E125,$B$2:$B$5,0))*$J125/SUMIFS($J:$J,$E:$E,$E125,$B:$B,$B125,S:S,1)*IF(B125=$B$10,0.9,1),0)</f>
        <v>300</v>
      </c>
      <c r="U125" s="24">
        <f t="shared" si="503"/>
        <v>1</v>
      </c>
      <c r="V125" s="24">
        <f>ROUND(INDEX($C$2:$C$5,MATCH($E125,$B$2:$B$5,0))*$K125/SUMIFS($K:$K,$E:$E,$E125,$B:$B,$B125,U:U,1)*IF(B125=$B$10,0.9,1),0)</f>
        <v>300</v>
      </c>
      <c r="W125" s="24">
        <f t="shared" ref="W125:AA125" si="504">IF($L125&lt;=W$8,1,0)</f>
        <v>1</v>
      </c>
      <c r="X125" s="24">
        <f>ROUND(INDEX($C$2:$C$5,MATCH($E125,$B$2:$B$5,0))*$F125/SUMIFS($F:$F,$E:$E,$E125,$B:$B,$B125,W:W,1)*IF(B125=$B$10,0.9,1),0)</f>
        <v>250</v>
      </c>
      <c r="Y125" s="24">
        <f t="shared" si="504"/>
        <v>1</v>
      </c>
      <c r="Z125" s="24">
        <f>ROUND(INDEX($C$2:$C$5,MATCH($E125,$B$2:$B$5,0))*$G125/SUMIFS($G:$G,$E:$E,$E125,$B:$B,$B125,Y:Y,1)*IF(B125=$B$10,0.9,1),0)</f>
        <v>250</v>
      </c>
      <c r="AA125" s="24">
        <f t="shared" si="504"/>
        <v>1</v>
      </c>
      <c r="AB125" s="24">
        <f>ROUND(INDEX($C$2:$C$5,MATCH($E125,$B$2:$B$5,0))*$H125/SUMIFS($H:$H,$E:$E,$E125,$B:$B,$B125,AA:AA,1)*IF(B125=$B$10,0.9,1),0)</f>
        <v>250</v>
      </c>
      <c r="AC125" s="24">
        <f t="shared" ref="AC125:AG125" si="505">IF($L125&lt;=AC$8,1,0)</f>
        <v>1</v>
      </c>
      <c r="AD125" s="24">
        <f>ROUND(INDEX($C$2:$C$5,MATCH($E125,$B$2:$B$5,0))*$F125/SUMIFS($F:$F,$E:$E,$E125,$B:$B,$B125,AC:AC,1)*IF(B125=$B$10,0.9,1),0)</f>
        <v>250</v>
      </c>
      <c r="AE125" s="24">
        <f t="shared" si="505"/>
        <v>1</v>
      </c>
      <c r="AF125" s="24">
        <f>ROUND(INDEX($C$2:$C$5,MATCH($E125,$B$2:$B$5,0))*$G125/SUMIFS($G:$G,$E:$E,$E125,$B:$B,$B125,AE:AE,1)*IF(B125=$B$10,0.9,1),0)</f>
        <v>250</v>
      </c>
      <c r="AG125" s="24">
        <f t="shared" si="505"/>
        <v>1</v>
      </c>
      <c r="AH125" s="24">
        <f>ROUND(INDEX($C$2:$C$5,MATCH($E125,$B$2:$B$5,0))*$H125/SUMIFS($H:$H,$E:$E,$E125,$B:$B,$B125,AG:AG,1)*IF(B125=$B$10,0.9,1),0)</f>
        <v>250</v>
      </c>
      <c r="AI125" s="24">
        <f t="shared" ref="AI125:AM125" si="506">IF($L125&lt;=AI$8,1,0)</f>
        <v>1</v>
      </c>
      <c r="AJ125" s="24">
        <f>ROUND(INDEX($C$2:$C$5,MATCH($E125,$B$2:$B$5,0))*$F125/SUMIFS($F:$F,$E:$E,$E125,$B:$B,$B125,AI:AI,1)*IF(B125=$B$10,0.9,1),0)</f>
        <v>250</v>
      </c>
      <c r="AK125" s="24">
        <f t="shared" si="506"/>
        <v>1</v>
      </c>
      <c r="AL125" s="24">
        <f>ROUND(INDEX($C$2:$C$5,MATCH($E125,$B$2:$B$5,0))*$G125/SUMIFS($G:$G,$E:$E,$E125,$B:$B,$B125,AK:AK,1)*IF(B125=$B$10,0.9,1),0)</f>
        <v>250</v>
      </c>
      <c r="AM125" s="24">
        <f t="shared" si="506"/>
        <v>1</v>
      </c>
      <c r="AN125" s="24">
        <f>ROUND(INDEX($C$2:$C$5,MATCH($E125,$B$2:$B$5,0))*$H125/SUMIFS($H:$H,$E:$E,$E125,$B:$B,$B125,AM:AM,1)*IF(B125=$B$10,0.9,1),0)</f>
        <v>250</v>
      </c>
      <c r="AX125" s="4" t="str">
        <f t="shared" si="288"/>
        <v>1,250</v>
      </c>
      <c r="AY125" s="4" t="str">
        <f t="shared" si="289"/>
        <v>1,300</v>
      </c>
      <c r="AZ125" s="4" t="str">
        <f t="shared" si="290"/>
        <v>1,300</v>
      </c>
      <c r="BA125" s="4" t="str">
        <f t="shared" si="291"/>
        <v>1,300</v>
      </c>
      <c r="BB125" s="4" t="str">
        <f t="shared" si="292"/>
        <v>1,250</v>
      </c>
      <c r="BC125" s="4" t="str">
        <f t="shared" si="293"/>
        <v>1,250</v>
      </c>
      <c r="BD125" s="4" t="str">
        <f t="shared" si="294"/>
        <v>1,250</v>
      </c>
      <c r="BE125" s="4" t="str">
        <f t="shared" si="295"/>
        <v>1,250</v>
      </c>
      <c r="BF125" s="4" t="str">
        <f t="shared" si="296"/>
        <v>1,250</v>
      </c>
      <c r="BG125" s="4" t="str">
        <f t="shared" si="297"/>
        <v>1,250</v>
      </c>
      <c r="BH125" s="4" t="str">
        <f t="shared" si="298"/>
        <v>1,250</v>
      </c>
      <c r="BI125" s="4" t="str">
        <f t="shared" si="299"/>
        <v>1,250</v>
      </c>
      <c r="BJ125" s="4" t="str">
        <f t="shared" si="300"/>
        <v>1,250</v>
      </c>
    </row>
    <row r="126" customHeight="1" spans="1:62">
      <c r="A126" s="35">
        <v>742</v>
      </c>
      <c r="B126" s="60" t="s">
        <v>69</v>
      </c>
      <c r="C126" s="40"/>
      <c r="D126" s="46" t="s">
        <v>394</v>
      </c>
      <c r="E126" s="45">
        <v>3</v>
      </c>
      <c r="F126" s="35">
        <v>1</v>
      </c>
      <c r="G126" s="35">
        <f t="shared" si="301"/>
        <v>1</v>
      </c>
      <c r="H126" s="35">
        <v>1</v>
      </c>
      <c r="I126" s="35">
        <v>1</v>
      </c>
      <c r="J126" s="35">
        <v>1</v>
      </c>
      <c r="K126" s="35">
        <v>1</v>
      </c>
      <c r="L126" s="35">
        <v>2</v>
      </c>
      <c r="M126" s="35"/>
      <c r="N126">
        <f t="shared" si="302"/>
        <v>1500</v>
      </c>
      <c r="O126" s="35">
        <v>1</v>
      </c>
      <c r="P126" s="24">
        <f>ROUND(INDEX($C$2:$C$5,MATCH($E126,$B$2:$B$5,0))*$F126/SUMIFS($F:$F,$E:$E,$E126,$B:$B,$B126,O:O,1)*IF(B126=$B$10,0.9,1),0)</f>
        <v>250</v>
      </c>
      <c r="Q126" s="24">
        <f t="shared" ref="Q126:U126" si="507">IF($L126&lt;=Q$8,1,0)</f>
        <v>0</v>
      </c>
      <c r="R126" s="24">
        <f>ROUND(INDEX($C$2:$C$5,MATCH($E126,$B$2:$B$5,0))*$I126/SUMIFS($I:$I,$E:$E,$E126,$B:$B,$B126,Q:Q,1)*IF(B126=$B$10,0.9,1),0)</f>
        <v>300</v>
      </c>
      <c r="S126" s="24">
        <f t="shared" si="507"/>
        <v>0</v>
      </c>
      <c r="T126" s="24">
        <f>ROUND(INDEX($C$2:$C$5,MATCH($E126,$B$2:$B$5,0))*$J126/SUMIFS($J:$J,$E:$E,$E126,$B:$B,$B126,S:S,1)*IF(B126=$B$10,0.9,1),0)</f>
        <v>300</v>
      </c>
      <c r="U126" s="24">
        <f t="shared" si="507"/>
        <v>0</v>
      </c>
      <c r="V126" s="24">
        <f>ROUND(INDEX($C$2:$C$5,MATCH($E126,$B$2:$B$5,0))*$K126/SUMIFS($K:$K,$E:$E,$E126,$B:$B,$B126,U:U,1)*IF(B126=$B$10,0.9,1),0)</f>
        <v>300</v>
      </c>
      <c r="W126" s="24">
        <f t="shared" ref="W126:AA126" si="508">IF($L126&lt;=W$8,1,0)</f>
        <v>1</v>
      </c>
      <c r="X126" s="24">
        <f>ROUND(INDEX($C$2:$C$5,MATCH($E126,$B$2:$B$5,0))*$F126/SUMIFS($F:$F,$E:$E,$E126,$B:$B,$B126,W:W,1)*IF(B126=$B$10,0.9,1),0)</f>
        <v>250</v>
      </c>
      <c r="Y126" s="24">
        <f t="shared" si="508"/>
        <v>1</v>
      </c>
      <c r="Z126" s="24">
        <f>ROUND(INDEX($C$2:$C$5,MATCH($E126,$B$2:$B$5,0))*$G126/SUMIFS($G:$G,$E:$E,$E126,$B:$B,$B126,Y:Y,1)*IF(B126=$B$10,0.9,1),0)</f>
        <v>250</v>
      </c>
      <c r="AA126" s="24">
        <f t="shared" si="508"/>
        <v>1</v>
      </c>
      <c r="AB126" s="24">
        <f>ROUND(INDEX($C$2:$C$5,MATCH($E126,$B$2:$B$5,0))*$H126/SUMIFS($H:$H,$E:$E,$E126,$B:$B,$B126,AA:AA,1)*IF(B126=$B$10,0.9,1),0)</f>
        <v>250</v>
      </c>
      <c r="AC126" s="24">
        <f t="shared" ref="AC126:AG126" si="509">IF($L126&lt;=AC$8,1,0)</f>
        <v>1</v>
      </c>
      <c r="AD126" s="24">
        <f>ROUND(INDEX($C$2:$C$5,MATCH($E126,$B$2:$B$5,0))*$F126/SUMIFS($F:$F,$E:$E,$E126,$B:$B,$B126,AC:AC,1)*IF(B126=$B$10,0.9,1),0)</f>
        <v>250</v>
      </c>
      <c r="AE126" s="24">
        <f t="shared" si="509"/>
        <v>1</v>
      </c>
      <c r="AF126" s="24">
        <f>ROUND(INDEX($C$2:$C$5,MATCH($E126,$B$2:$B$5,0))*$G126/SUMIFS($G:$G,$E:$E,$E126,$B:$B,$B126,AE:AE,1)*IF(B126=$B$10,0.9,1),0)</f>
        <v>250</v>
      </c>
      <c r="AG126" s="24">
        <f t="shared" si="509"/>
        <v>1</v>
      </c>
      <c r="AH126" s="24">
        <f>ROUND(INDEX($C$2:$C$5,MATCH($E126,$B$2:$B$5,0))*$H126/SUMIFS($H:$H,$E:$E,$E126,$B:$B,$B126,AG:AG,1)*IF(B126=$B$10,0.9,1),0)</f>
        <v>250</v>
      </c>
      <c r="AI126" s="24">
        <f t="shared" ref="AI126:AM126" si="510">IF($L126&lt;=AI$8,1,0)</f>
        <v>1</v>
      </c>
      <c r="AJ126" s="24">
        <f>ROUND(INDEX($C$2:$C$5,MATCH($E126,$B$2:$B$5,0))*$F126/SUMIFS($F:$F,$E:$E,$E126,$B:$B,$B126,AI:AI,1)*IF(B126=$B$10,0.9,1),0)</f>
        <v>250</v>
      </c>
      <c r="AK126" s="24">
        <f t="shared" si="510"/>
        <v>1</v>
      </c>
      <c r="AL126" s="24">
        <f>ROUND(INDEX($C$2:$C$5,MATCH($E126,$B$2:$B$5,0))*$G126/SUMIFS($G:$G,$E:$E,$E126,$B:$B,$B126,AK:AK,1)*IF(B126=$B$10,0.9,1),0)</f>
        <v>250</v>
      </c>
      <c r="AM126" s="24">
        <f t="shared" si="510"/>
        <v>1</v>
      </c>
      <c r="AN126" s="24">
        <f>ROUND(INDEX($C$2:$C$5,MATCH($E126,$B$2:$B$5,0))*$H126/SUMIFS($H:$H,$E:$E,$E126,$B:$B,$B126,AM:AM,1)*IF(B126=$B$10,0.9,1),0)</f>
        <v>250</v>
      </c>
      <c r="AX126" s="4" t="str">
        <f t="shared" si="288"/>
        <v>1,250</v>
      </c>
      <c r="AY126" s="4" t="str">
        <f t="shared" si="289"/>
        <v>0,300</v>
      </c>
      <c r="AZ126" s="4" t="str">
        <f t="shared" si="290"/>
        <v>0,300</v>
      </c>
      <c r="BA126" s="4" t="str">
        <f t="shared" si="291"/>
        <v>0,300</v>
      </c>
      <c r="BB126" s="4" t="str">
        <f t="shared" si="292"/>
        <v>1,250</v>
      </c>
      <c r="BC126" s="4" t="str">
        <f t="shared" si="293"/>
        <v>1,250</v>
      </c>
      <c r="BD126" s="4" t="str">
        <f t="shared" si="294"/>
        <v>1,250</v>
      </c>
      <c r="BE126" s="4" t="str">
        <f t="shared" si="295"/>
        <v>1,250</v>
      </c>
      <c r="BF126" s="4" t="str">
        <f t="shared" si="296"/>
        <v>1,250</v>
      </c>
      <c r="BG126" s="4" t="str">
        <f t="shared" si="297"/>
        <v>1,250</v>
      </c>
      <c r="BH126" s="4" t="str">
        <f t="shared" si="298"/>
        <v>1,250</v>
      </c>
      <c r="BI126" s="4" t="str">
        <f t="shared" si="299"/>
        <v>1,250</v>
      </c>
      <c r="BJ126" s="4" t="str">
        <f t="shared" si="300"/>
        <v>1,250</v>
      </c>
    </row>
    <row r="127" customHeight="1" spans="1:62">
      <c r="A127" s="35">
        <v>751</v>
      </c>
      <c r="B127" s="60" t="s">
        <v>69</v>
      </c>
      <c r="C127" s="40"/>
      <c r="D127" s="47" t="s">
        <v>395</v>
      </c>
      <c r="E127" s="45">
        <v>4</v>
      </c>
      <c r="F127" s="35">
        <v>1</v>
      </c>
      <c r="G127" s="35">
        <f t="shared" si="301"/>
        <v>1</v>
      </c>
      <c r="H127" s="35">
        <v>1</v>
      </c>
      <c r="I127" s="35">
        <v>1</v>
      </c>
      <c r="J127" s="35">
        <v>1</v>
      </c>
      <c r="K127" s="35">
        <v>1</v>
      </c>
      <c r="L127" s="35">
        <v>1</v>
      </c>
      <c r="M127" s="35" t="s">
        <v>136</v>
      </c>
      <c r="N127">
        <f t="shared" si="302"/>
        <v>500</v>
      </c>
      <c r="O127" s="35">
        <v>1</v>
      </c>
      <c r="P127" s="24">
        <f>ROUND(INDEX($C$2:$C$5,MATCH($E127,$B$2:$B$5,0))*$F127/SUMIFS($F:$F,$E:$E,$E127,$B:$B,$B127,O:O,1)*IF(B127=$B$10,0.9,1),0)</f>
        <v>250</v>
      </c>
      <c r="Q127" s="24">
        <f t="shared" ref="Q127:U127" si="511">IF($L127&lt;=Q$8,1,0)</f>
        <v>1</v>
      </c>
      <c r="R127" s="24">
        <f>ROUND(INDEX($C$2:$C$5,MATCH($E127,$B$2:$B$5,0))*$I127/SUMIFS($I:$I,$E:$E,$E127,$B:$B,$B127,Q:Q,1)*IF(B127=$B$10,0.9,1),0)</f>
        <v>500</v>
      </c>
      <c r="S127" s="24">
        <f t="shared" si="511"/>
        <v>1</v>
      </c>
      <c r="T127" s="24">
        <f>ROUND(INDEX($C$2:$C$5,MATCH($E127,$B$2:$B$5,0))*$J127/SUMIFS($J:$J,$E:$E,$E127,$B:$B,$B127,S:S,1)*IF(B127=$B$10,0.9,1),0)</f>
        <v>500</v>
      </c>
      <c r="U127" s="24">
        <f t="shared" si="511"/>
        <v>1</v>
      </c>
      <c r="V127" s="24">
        <f>ROUND(INDEX($C$2:$C$5,MATCH($E127,$B$2:$B$5,0))*$K127/SUMIFS($K:$K,$E:$E,$E127,$B:$B,$B127,U:U,1)*IF(B127=$B$10,0.9,1),0)</f>
        <v>500</v>
      </c>
      <c r="W127" s="24">
        <f t="shared" ref="W127:AA127" si="512">IF($L127&lt;=W$8,1,0)</f>
        <v>1</v>
      </c>
      <c r="X127" s="24">
        <f>ROUND(INDEX($C$2:$C$5,MATCH($E127,$B$2:$B$5,0))*$F127/SUMIFS($F:$F,$E:$E,$E127,$B:$B,$B127,W:W,1)*IF(B127=$B$10,0.9,1),0)</f>
        <v>500</v>
      </c>
      <c r="Y127" s="24">
        <f t="shared" si="512"/>
        <v>1</v>
      </c>
      <c r="Z127" s="24">
        <f>ROUND(INDEX($C$2:$C$5,MATCH($E127,$B$2:$B$5,0))*$G127/SUMIFS($G:$G,$E:$E,$E127,$B:$B,$B127,Y:Y,1)*IF(B127=$B$10,0.9,1),0)</f>
        <v>500</v>
      </c>
      <c r="AA127" s="24">
        <f t="shared" si="512"/>
        <v>1</v>
      </c>
      <c r="AB127" s="24">
        <f>ROUND(INDEX($C$2:$C$5,MATCH($E127,$B$2:$B$5,0))*$H127/SUMIFS($H:$H,$E:$E,$E127,$B:$B,$B127,AA:AA,1)*IF(B127=$B$10,0.9,1),0)</f>
        <v>500</v>
      </c>
      <c r="AC127" s="24">
        <f t="shared" ref="AC127:AG127" si="513">IF($L127&lt;=AC$8,1,0)</f>
        <v>1</v>
      </c>
      <c r="AD127" s="24">
        <f>ROUND(INDEX($C$2:$C$5,MATCH($E127,$B$2:$B$5,0))*$F127/SUMIFS($F:$F,$E:$E,$E127,$B:$B,$B127,AC:AC,1)*IF(B127=$B$10,0.9,1),0)</f>
        <v>250</v>
      </c>
      <c r="AE127" s="24">
        <f t="shared" si="513"/>
        <v>1</v>
      </c>
      <c r="AF127" s="24">
        <f>ROUND(INDEX($C$2:$C$5,MATCH($E127,$B$2:$B$5,0))*$G127/SUMIFS($G:$G,$E:$E,$E127,$B:$B,$B127,AE:AE,1)*IF(B127=$B$10,0.9,1),0)</f>
        <v>250</v>
      </c>
      <c r="AG127" s="24">
        <f t="shared" si="513"/>
        <v>1</v>
      </c>
      <c r="AH127" s="24">
        <f>ROUND(INDEX($C$2:$C$5,MATCH($E127,$B$2:$B$5,0))*$H127/SUMIFS($H:$H,$E:$E,$E127,$B:$B,$B127,AG:AG,1)*IF(B127=$B$10,0.9,1),0)</f>
        <v>250</v>
      </c>
      <c r="AI127" s="24">
        <f t="shared" ref="AI127:AM127" si="514">IF($L127&lt;=AI$8,1,0)</f>
        <v>1</v>
      </c>
      <c r="AJ127" s="24">
        <f>ROUND(INDEX($C$2:$C$5,MATCH($E127,$B$2:$B$5,0))*$F127/SUMIFS($F:$F,$E:$E,$E127,$B:$B,$B127,AI:AI,1)*IF(B127=$B$10,0.9,1),0)</f>
        <v>250</v>
      </c>
      <c r="AK127" s="24">
        <f t="shared" si="514"/>
        <v>1</v>
      </c>
      <c r="AL127" s="24">
        <f>ROUND(INDEX($C$2:$C$5,MATCH($E127,$B$2:$B$5,0))*$G127/SUMIFS($G:$G,$E:$E,$E127,$B:$B,$B127,AK:AK,1)*IF(B127=$B$10,0.9,1),0)</f>
        <v>250</v>
      </c>
      <c r="AM127" s="24">
        <f t="shared" si="514"/>
        <v>1</v>
      </c>
      <c r="AN127" s="24">
        <f>ROUND(INDEX($C$2:$C$5,MATCH($E127,$B$2:$B$5,0))*$H127/SUMIFS($H:$H,$E:$E,$E127,$B:$B,$B127,AM:AM,1)*IF(B127=$B$10,0.9,1),0)</f>
        <v>250</v>
      </c>
      <c r="AX127" s="4" t="str">
        <f t="shared" si="288"/>
        <v>1,250</v>
      </c>
      <c r="AY127" s="4" t="str">
        <f t="shared" si="289"/>
        <v>1,500</v>
      </c>
      <c r="AZ127" s="4" t="str">
        <f t="shared" si="290"/>
        <v>1,500</v>
      </c>
      <c r="BA127" s="4" t="str">
        <f t="shared" si="291"/>
        <v>1,500</v>
      </c>
      <c r="BB127" s="4" t="str">
        <f t="shared" si="292"/>
        <v>1,500</v>
      </c>
      <c r="BC127" s="4" t="str">
        <f t="shared" si="293"/>
        <v>1,500</v>
      </c>
      <c r="BD127" s="4" t="str">
        <f t="shared" si="294"/>
        <v>1,500</v>
      </c>
      <c r="BE127" s="4" t="str">
        <f t="shared" si="295"/>
        <v>1,250</v>
      </c>
      <c r="BF127" s="4" t="str">
        <f t="shared" si="296"/>
        <v>1,250</v>
      </c>
      <c r="BG127" s="4" t="str">
        <f t="shared" si="297"/>
        <v>1,250</v>
      </c>
      <c r="BH127" s="4" t="str">
        <f t="shared" si="298"/>
        <v>1,250</v>
      </c>
      <c r="BI127" s="4" t="str">
        <f t="shared" si="299"/>
        <v>1,250</v>
      </c>
      <c r="BJ127" s="4" t="str">
        <f t="shared" si="300"/>
        <v>1,250</v>
      </c>
    </row>
    <row r="128" customHeight="1" spans="1:62">
      <c r="A128" s="35">
        <v>752</v>
      </c>
      <c r="B128" s="60" t="s">
        <v>69</v>
      </c>
      <c r="C128" s="40" t="s">
        <v>218</v>
      </c>
      <c r="D128" s="48" t="s">
        <v>396</v>
      </c>
      <c r="E128" s="43">
        <v>4</v>
      </c>
      <c r="F128" s="35">
        <v>1</v>
      </c>
      <c r="G128" s="35">
        <f t="shared" si="301"/>
        <v>1</v>
      </c>
      <c r="H128" s="35">
        <v>1</v>
      </c>
      <c r="I128" s="35">
        <v>1</v>
      </c>
      <c r="J128" s="35">
        <v>1</v>
      </c>
      <c r="K128" s="35">
        <v>1</v>
      </c>
      <c r="L128" s="35">
        <v>3</v>
      </c>
      <c r="M128" s="35"/>
      <c r="N128">
        <f t="shared" si="302"/>
        <v>500</v>
      </c>
      <c r="O128" s="35">
        <v>1</v>
      </c>
      <c r="P128" s="24">
        <f>ROUND(INDEX($C$2:$C$5,MATCH($E128,$B$2:$B$5,0))*$F128/SUMIFS($F:$F,$E:$E,$E128,$B:$B,$B128,O:O,1)*IF(B128=$B$10,0.9,1),0)</f>
        <v>250</v>
      </c>
      <c r="Q128" s="24">
        <f t="shared" ref="Q128:U128" si="515">IF($L128&lt;=Q$8,1,0)</f>
        <v>0</v>
      </c>
      <c r="R128" s="24">
        <f>ROUND(INDEX($C$2:$C$5,MATCH($E128,$B$2:$B$5,0))*$I128/SUMIFS($I:$I,$E:$E,$E128,$B:$B,$B128,Q:Q,1)*IF(B128=$B$10,0.9,1),0)</f>
        <v>500</v>
      </c>
      <c r="S128" s="24">
        <f t="shared" si="515"/>
        <v>0</v>
      </c>
      <c r="T128" s="24">
        <f>ROUND(INDEX($C$2:$C$5,MATCH($E128,$B$2:$B$5,0))*$J128/SUMIFS($J:$J,$E:$E,$E128,$B:$B,$B128,S:S,1)*IF(B128=$B$10,0.9,1),0)</f>
        <v>500</v>
      </c>
      <c r="U128" s="24">
        <f t="shared" si="515"/>
        <v>0</v>
      </c>
      <c r="V128" s="24">
        <f>ROUND(INDEX($C$2:$C$5,MATCH($E128,$B$2:$B$5,0))*$K128/SUMIFS($K:$K,$E:$E,$E128,$B:$B,$B128,U:U,1)*IF(B128=$B$10,0.9,1),0)</f>
        <v>500</v>
      </c>
      <c r="W128" s="24">
        <f t="shared" ref="W128:AA128" si="516">IF($L128&lt;=W$8,1,0)</f>
        <v>0</v>
      </c>
      <c r="X128" s="24">
        <f>ROUND(INDEX($C$2:$C$5,MATCH($E128,$B$2:$B$5,0))*$F128/SUMIFS($F:$F,$E:$E,$E128,$B:$B,$B128,W:W,1)*IF(B128=$B$10,0.9,1),0)</f>
        <v>500</v>
      </c>
      <c r="Y128" s="24">
        <f t="shared" si="516"/>
        <v>0</v>
      </c>
      <c r="Z128" s="24">
        <f>ROUND(INDEX($C$2:$C$5,MATCH($E128,$B$2:$B$5,0))*$G128/SUMIFS($G:$G,$E:$E,$E128,$B:$B,$B128,Y:Y,1)*IF(B128=$B$10,0.9,1),0)</f>
        <v>500</v>
      </c>
      <c r="AA128" s="24">
        <f t="shared" si="516"/>
        <v>0</v>
      </c>
      <c r="AB128" s="24">
        <f>ROUND(INDEX($C$2:$C$5,MATCH($E128,$B$2:$B$5,0))*$H128/SUMIFS($H:$H,$E:$E,$E128,$B:$B,$B128,AA:AA,1)*IF(B128=$B$10,0.9,1),0)</f>
        <v>500</v>
      </c>
      <c r="AC128" s="24">
        <f t="shared" ref="AC128:AG128" si="517">IF($L128&lt;=AC$8,1,0)</f>
        <v>1</v>
      </c>
      <c r="AD128" s="24">
        <f>ROUND(INDEX($C$2:$C$5,MATCH($E128,$B$2:$B$5,0))*$F128/SUMIFS($F:$F,$E:$E,$E128,$B:$B,$B128,AC:AC,1)*IF(B128=$B$10,0.9,1),0)</f>
        <v>250</v>
      </c>
      <c r="AE128" s="24">
        <f t="shared" si="517"/>
        <v>1</v>
      </c>
      <c r="AF128" s="24">
        <f>ROUND(INDEX($C$2:$C$5,MATCH($E128,$B$2:$B$5,0))*$G128/SUMIFS($G:$G,$E:$E,$E128,$B:$B,$B128,AE:AE,1)*IF(B128=$B$10,0.9,1),0)</f>
        <v>250</v>
      </c>
      <c r="AG128" s="24">
        <f t="shared" si="517"/>
        <v>1</v>
      </c>
      <c r="AH128" s="24">
        <f>ROUND(INDEX($C$2:$C$5,MATCH($E128,$B$2:$B$5,0))*$H128/SUMIFS($H:$H,$E:$E,$E128,$B:$B,$B128,AG:AG,1)*IF(B128=$B$10,0.9,1),0)</f>
        <v>250</v>
      </c>
      <c r="AI128" s="24">
        <f t="shared" ref="AI128:AM128" si="518">IF($L128&lt;=AI$8,1,0)</f>
        <v>1</v>
      </c>
      <c r="AJ128" s="24">
        <f>ROUND(INDEX($C$2:$C$5,MATCH($E128,$B$2:$B$5,0))*$F128/SUMIFS($F:$F,$E:$E,$E128,$B:$B,$B128,AI:AI,1)*IF(B128=$B$10,0.9,1),0)</f>
        <v>250</v>
      </c>
      <c r="AK128" s="24">
        <f t="shared" si="518"/>
        <v>1</v>
      </c>
      <c r="AL128" s="24">
        <f>ROUND(INDEX($C$2:$C$5,MATCH($E128,$B$2:$B$5,0))*$G128/SUMIFS($G:$G,$E:$E,$E128,$B:$B,$B128,AK:AK,1)*IF(B128=$B$10,0.9,1),0)</f>
        <v>250</v>
      </c>
      <c r="AM128" s="24">
        <f t="shared" si="518"/>
        <v>1</v>
      </c>
      <c r="AN128" s="24">
        <f>ROUND(INDEX($C$2:$C$5,MATCH($E128,$B$2:$B$5,0))*$H128/SUMIFS($H:$H,$E:$E,$E128,$B:$B,$B128,AM:AM,1)*IF(B128=$B$10,0.9,1),0)</f>
        <v>250</v>
      </c>
      <c r="AX128" s="4" t="str">
        <f t="shared" si="288"/>
        <v>1,250</v>
      </c>
      <c r="AY128" s="4" t="str">
        <f t="shared" si="289"/>
        <v>0,500</v>
      </c>
      <c r="AZ128" s="4" t="str">
        <f t="shared" si="290"/>
        <v>0,500</v>
      </c>
      <c r="BA128" s="4" t="str">
        <f t="shared" si="291"/>
        <v>0,500</v>
      </c>
      <c r="BB128" s="4" t="str">
        <f t="shared" si="292"/>
        <v>0,500</v>
      </c>
      <c r="BC128" s="4" t="str">
        <f t="shared" si="293"/>
        <v>0,500</v>
      </c>
      <c r="BD128" s="4" t="str">
        <f t="shared" si="294"/>
        <v>0,500</v>
      </c>
      <c r="BE128" s="4" t="str">
        <f t="shared" si="295"/>
        <v>1,250</v>
      </c>
      <c r="BF128" s="4" t="str">
        <f t="shared" si="296"/>
        <v>1,250</v>
      </c>
      <c r="BG128" s="4" t="str">
        <f t="shared" si="297"/>
        <v>1,250</v>
      </c>
      <c r="BH128" s="4" t="str">
        <f t="shared" si="298"/>
        <v>1,250</v>
      </c>
      <c r="BI128" s="4" t="str">
        <f t="shared" si="299"/>
        <v>1,250</v>
      </c>
      <c r="BJ128" s="4" t="str">
        <f t="shared" si="300"/>
        <v>1,250</v>
      </c>
    </row>
    <row r="129" customHeight="1" spans="1:62">
      <c r="A129" s="35">
        <v>801</v>
      </c>
      <c r="B129" s="60" t="s">
        <v>75</v>
      </c>
      <c r="C129" s="40" t="s">
        <v>218</v>
      </c>
      <c r="D129" s="41" t="s">
        <v>356</v>
      </c>
      <c r="E129" s="45">
        <v>1</v>
      </c>
      <c r="F129" s="35">
        <v>1</v>
      </c>
      <c r="G129" s="35">
        <f t="shared" si="301"/>
        <v>1</v>
      </c>
      <c r="H129" s="35">
        <v>1</v>
      </c>
      <c r="I129" s="35">
        <v>1</v>
      </c>
      <c r="J129" s="35">
        <v>1</v>
      </c>
      <c r="K129" s="35">
        <v>1</v>
      </c>
      <c r="L129" s="35">
        <v>1</v>
      </c>
      <c r="M129" s="35" t="s">
        <v>136</v>
      </c>
      <c r="N129">
        <f t="shared" si="302"/>
        <v>13500</v>
      </c>
      <c r="O129" s="35">
        <v>1</v>
      </c>
      <c r="P129" s="24">
        <f>ROUND(INDEX($C$2:$C$5,MATCH($E129,$B$2:$B$5,0))*$F129/SUMIFS($F:$F,$E:$E,$E129,$B:$B,$B129,O:O,1)*IF(B129=$B$10,0.9,1),0)</f>
        <v>6750</v>
      </c>
      <c r="Q129" s="24">
        <f t="shared" ref="Q129:U129" si="519">IF($L129&lt;=Q$8,1,0)</f>
        <v>1</v>
      </c>
      <c r="R129" s="24">
        <f>ROUND(INDEX($C$2:$C$5,MATCH($E129,$B$2:$B$5,0))*$I129/SUMIFS($I:$I,$E:$E,$E129,$B:$B,$B129,Q:Q,1)*IF(B129=$B$10,0.9,1),0)</f>
        <v>6750</v>
      </c>
      <c r="S129" s="24">
        <f t="shared" si="519"/>
        <v>1</v>
      </c>
      <c r="T129" s="24">
        <f>ROUND(INDEX($C$2:$C$5,MATCH($E129,$B$2:$B$5,0))*$J129/SUMIFS($J:$J,$E:$E,$E129,$B:$B,$B129,S:S,1)*IF(B129=$B$10,0.9,1),0)</f>
        <v>6750</v>
      </c>
      <c r="U129" s="24">
        <f t="shared" si="519"/>
        <v>1</v>
      </c>
      <c r="V129" s="24">
        <f>ROUND(INDEX($C$2:$C$5,MATCH($E129,$B$2:$B$5,0))*$K129/SUMIFS($K:$K,$E:$E,$E129,$B:$B,$B129,U:U,1)*IF(B129=$B$10,0.9,1),0)</f>
        <v>6750</v>
      </c>
      <c r="W129" s="24">
        <f t="shared" ref="W129:AA129" si="520">IF($L129&lt;=W$8,1,0)</f>
        <v>1</v>
      </c>
      <c r="X129" s="24">
        <f>ROUND(INDEX($C$2:$C$5,MATCH($E129,$B$2:$B$5,0))*$F129/SUMIFS($F:$F,$E:$E,$E129,$B:$B,$B129,W:W,1)*IF(B129=$B$10,0.9,1),0)</f>
        <v>6750</v>
      </c>
      <c r="Y129" s="24">
        <f t="shared" si="520"/>
        <v>1</v>
      </c>
      <c r="Z129" s="24">
        <f>ROUND(INDEX($C$2:$C$5,MATCH($E129,$B$2:$B$5,0))*$G129/SUMIFS($G:$G,$E:$E,$E129,$B:$B,$B129,Y:Y,1)*IF(B129=$B$10,0.9,1),0)</f>
        <v>6750</v>
      </c>
      <c r="AA129" s="24">
        <f t="shared" si="520"/>
        <v>1</v>
      </c>
      <c r="AB129" s="24">
        <f>ROUND(INDEX($C$2:$C$5,MATCH($E129,$B$2:$B$5,0))*$H129/SUMIFS($H:$H,$E:$E,$E129,$B:$B,$B129,AA:AA,1)*IF(B129=$B$10,0.9,1),0)</f>
        <v>6750</v>
      </c>
      <c r="AC129" s="24">
        <f t="shared" ref="AC129:AG129" si="521">IF($L129&lt;=AC$8,1,0)</f>
        <v>1</v>
      </c>
      <c r="AD129" s="24">
        <f>ROUND(INDEX($C$2:$C$5,MATCH($E129,$B$2:$B$5,0))*$F129/SUMIFS($F:$F,$E:$E,$E129,$B:$B,$B129,AC:AC,1)*IF(B129=$B$10,0.9,1),0)</f>
        <v>6750</v>
      </c>
      <c r="AE129" s="24">
        <f t="shared" si="521"/>
        <v>1</v>
      </c>
      <c r="AF129" s="24">
        <f>ROUND(INDEX($C$2:$C$5,MATCH($E129,$B$2:$B$5,0))*$G129/SUMIFS($G:$G,$E:$E,$E129,$B:$B,$B129,AE:AE,1)*IF(B129=$B$10,0.9,1),0)</f>
        <v>6750</v>
      </c>
      <c r="AG129" s="24">
        <f t="shared" si="521"/>
        <v>1</v>
      </c>
      <c r="AH129" s="24">
        <f>ROUND(INDEX($C$2:$C$5,MATCH($E129,$B$2:$B$5,0))*$H129/SUMIFS($H:$H,$E:$E,$E129,$B:$B,$B129,AG:AG,1)*IF(B129=$B$10,0.9,1),0)</f>
        <v>6750</v>
      </c>
      <c r="AI129" s="24">
        <f t="shared" ref="AI129:AM129" si="522">IF($L129&lt;=AI$8,1,0)</f>
        <v>1</v>
      </c>
      <c r="AJ129" s="24">
        <f>ROUND(INDEX($C$2:$C$5,MATCH($E129,$B$2:$B$5,0))*$F129/SUMIFS($F:$F,$E:$E,$E129,$B:$B,$B129,AI:AI,1)*IF(B129=$B$10,0.9,1),0)</f>
        <v>6750</v>
      </c>
      <c r="AK129" s="24">
        <f t="shared" si="522"/>
        <v>1</v>
      </c>
      <c r="AL129" s="24">
        <f>ROUND(INDEX($C$2:$C$5,MATCH($E129,$B$2:$B$5,0))*$G129/SUMIFS($G:$G,$E:$E,$E129,$B:$B,$B129,AK:AK,1)*IF(B129=$B$10,0.9,1),0)</f>
        <v>6750</v>
      </c>
      <c r="AM129" s="24">
        <f t="shared" si="522"/>
        <v>1</v>
      </c>
      <c r="AN129" s="24">
        <f>ROUND(INDEX($C$2:$C$5,MATCH($E129,$B$2:$B$5,0))*$H129/SUMIFS($H:$H,$E:$E,$E129,$B:$B,$B129,AM:AM,1)*IF(B129=$B$10,0.9,1),0)</f>
        <v>6750</v>
      </c>
      <c r="AX129" s="4" t="str">
        <f t="shared" si="288"/>
        <v>1,6750</v>
      </c>
      <c r="AY129" s="4" t="str">
        <f t="shared" si="289"/>
        <v>1,6750</v>
      </c>
      <c r="AZ129" s="4" t="str">
        <f t="shared" si="290"/>
        <v>1,6750</v>
      </c>
      <c r="BA129" s="4" t="str">
        <f t="shared" si="291"/>
        <v>1,6750</v>
      </c>
      <c r="BB129" s="4" t="str">
        <f t="shared" si="292"/>
        <v>1,6750</v>
      </c>
      <c r="BC129" s="4" t="str">
        <f t="shared" si="293"/>
        <v>1,6750</v>
      </c>
      <c r="BD129" s="4" t="str">
        <f t="shared" si="294"/>
        <v>1,6750</v>
      </c>
      <c r="BE129" s="4" t="str">
        <f t="shared" si="295"/>
        <v>1,6750</v>
      </c>
      <c r="BF129" s="4" t="str">
        <f t="shared" si="296"/>
        <v>1,6750</v>
      </c>
      <c r="BG129" s="4" t="str">
        <f t="shared" si="297"/>
        <v>1,6750</v>
      </c>
      <c r="BH129" s="4" t="str">
        <f t="shared" si="298"/>
        <v>1,6750</v>
      </c>
      <c r="BI129" s="4" t="str">
        <f t="shared" si="299"/>
        <v>1,6750</v>
      </c>
      <c r="BJ129" s="4" t="str">
        <f t="shared" si="300"/>
        <v>1,6750</v>
      </c>
    </row>
    <row r="130" customHeight="1" spans="1:62">
      <c r="A130" s="49">
        <v>802</v>
      </c>
      <c r="B130" s="60" t="s">
        <v>75</v>
      </c>
      <c r="C130" s="40" t="s">
        <v>218</v>
      </c>
      <c r="D130" s="41" t="s">
        <v>357</v>
      </c>
      <c r="E130" s="45">
        <v>1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 t="s">
        <v>136</v>
      </c>
      <c r="N130">
        <f t="shared" si="302"/>
        <v>13500</v>
      </c>
      <c r="O130" s="35">
        <v>1</v>
      </c>
      <c r="P130" s="24">
        <f>ROUND(INDEX($C$2:$C$5,MATCH($E130,$B$2:$B$5,0))*$F130/SUMIFS($F:$F,$E:$E,$E130,$B:$B,$B130,O:O,1)*IF(B130=$B$10,0.9,1),0)</f>
        <v>0</v>
      </c>
      <c r="Q130" s="24">
        <f t="shared" ref="Q130:U130" si="523">IF($L130&lt;=Q$8,1,0)</f>
        <v>1</v>
      </c>
      <c r="R130" s="24">
        <f>ROUND(INDEX($C$2:$C$5,MATCH($E130,$B$2:$B$5,0))*$I130/SUMIFS($I:$I,$E:$E,$E130,$B:$B,$B130,Q:Q,1)*IF(B130=$B$10,0.9,1),0)</f>
        <v>0</v>
      </c>
      <c r="S130" s="24">
        <f t="shared" si="523"/>
        <v>1</v>
      </c>
      <c r="T130" s="24">
        <f>ROUND(INDEX($C$2:$C$5,MATCH($E130,$B$2:$B$5,0))*$J130/SUMIFS($J:$J,$E:$E,$E130,$B:$B,$B130,S:S,1)*IF(B130=$B$10,0.9,1),0)</f>
        <v>0</v>
      </c>
      <c r="U130" s="24">
        <f t="shared" si="523"/>
        <v>1</v>
      </c>
      <c r="V130" s="24">
        <f>ROUND(INDEX($C$2:$C$5,MATCH($E130,$B$2:$B$5,0))*$K130/SUMIFS($K:$K,$E:$E,$E130,$B:$B,$B130,U:U,1)*IF(B130=$B$10,0.9,1),0)</f>
        <v>0</v>
      </c>
      <c r="W130" s="24">
        <f t="shared" ref="W130:AA130" si="524">IF($L130&lt;=W$8,1,0)</f>
        <v>1</v>
      </c>
      <c r="X130" s="24">
        <f>ROUND(INDEX($C$2:$C$5,MATCH($E130,$B$2:$B$5,0))*$F130/SUMIFS($F:$F,$E:$E,$E130,$B:$B,$B130,W:W,1)*IF(B130=$B$10,0.9,1),0)</f>
        <v>0</v>
      </c>
      <c r="Y130" s="24">
        <f t="shared" si="524"/>
        <v>1</v>
      </c>
      <c r="Z130" s="24">
        <f>ROUND(INDEX($C$2:$C$5,MATCH($E130,$B$2:$B$5,0))*$G130/SUMIFS($G:$G,$E:$E,$E130,$B:$B,$B130,Y:Y,1)*IF(B130=$B$10,0.9,1),0)</f>
        <v>0</v>
      </c>
      <c r="AA130" s="24">
        <f t="shared" si="524"/>
        <v>1</v>
      </c>
      <c r="AB130" s="24">
        <f>ROUND(INDEX($C$2:$C$5,MATCH($E130,$B$2:$B$5,0))*$H130/SUMIFS($H:$H,$E:$E,$E130,$B:$B,$B130,AA:AA,1)*IF(B130=$B$10,0.9,1),0)</f>
        <v>0</v>
      </c>
      <c r="AC130" s="24">
        <f t="shared" ref="AC130:AG130" si="525">IF($L130&lt;=AC$8,1,0)</f>
        <v>1</v>
      </c>
      <c r="AD130" s="24">
        <f>ROUND(INDEX($C$2:$C$5,MATCH($E130,$B$2:$B$5,0))*$F130/SUMIFS($F:$F,$E:$E,$E130,$B:$B,$B130,AC:AC,1)*IF(B130=$B$10,0.9,1),0)</f>
        <v>0</v>
      </c>
      <c r="AE130" s="24">
        <f t="shared" si="525"/>
        <v>1</v>
      </c>
      <c r="AF130" s="24">
        <f>ROUND(INDEX($C$2:$C$5,MATCH($E130,$B$2:$B$5,0))*$G130/SUMIFS($G:$G,$E:$E,$E130,$B:$B,$B130,AE:AE,1)*IF(B130=$B$10,0.9,1),0)</f>
        <v>0</v>
      </c>
      <c r="AG130" s="24">
        <f t="shared" si="525"/>
        <v>1</v>
      </c>
      <c r="AH130" s="24">
        <f>ROUND(INDEX($C$2:$C$5,MATCH($E130,$B$2:$B$5,0))*$H130/SUMIFS($H:$H,$E:$E,$E130,$B:$B,$B130,AG:AG,1)*IF(B130=$B$10,0.9,1),0)</f>
        <v>0</v>
      </c>
      <c r="AI130" s="24">
        <f t="shared" ref="AI130:AM130" si="526">IF($L130&lt;=AI$8,1,0)</f>
        <v>1</v>
      </c>
      <c r="AJ130" s="24">
        <f>ROUND(INDEX($C$2:$C$5,MATCH($E130,$B$2:$B$5,0))*$F130/SUMIFS($F:$F,$E:$E,$E130,$B:$B,$B130,AI:AI,1)*IF(B130=$B$10,0.9,1),0)</f>
        <v>0</v>
      </c>
      <c r="AK130" s="24">
        <f t="shared" si="526"/>
        <v>1</v>
      </c>
      <c r="AL130" s="24">
        <f>ROUND(INDEX($C$2:$C$5,MATCH($E130,$B$2:$B$5,0))*$G130/SUMIFS($G:$G,$E:$E,$E130,$B:$B,$B130,AK:AK,1)*IF(B130=$B$10,0.9,1),0)</f>
        <v>0</v>
      </c>
      <c r="AM130" s="24">
        <f t="shared" si="526"/>
        <v>1</v>
      </c>
      <c r="AN130" s="24">
        <f>ROUND(INDEX($C$2:$C$5,MATCH($E130,$B$2:$B$5,0))*$H130/SUMIFS($H:$H,$E:$E,$E130,$B:$B,$B130,AM:AM,1)*IF(B130=$B$10,0.9,1),0)</f>
        <v>0</v>
      </c>
      <c r="AX130" s="4" t="str">
        <f t="shared" si="288"/>
        <v>1,0</v>
      </c>
      <c r="AY130" s="4" t="str">
        <f t="shared" si="289"/>
        <v>1,0</v>
      </c>
      <c r="AZ130" s="4" t="str">
        <f t="shared" si="290"/>
        <v>1,0</v>
      </c>
      <c r="BA130" s="4" t="str">
        <f t="shared" si="291"/>
        <v>1,0</v>
      </c>
      <c r="BB130" s="4" t="str">
        <f t="shared" si="292"/>
        <v>1,0</v>
      </c>
      <c r="BC130" s="4" t="str">
        <f t="shared" si="293"/>
        <v>1,0</v>
      </c>
      <c r="BD130" s="4" t="str">
        <f t="shared" si="294"/>
        <v>1,0</v>
      </c>
      <c r="BE130" s="4" t="str">
        <f t="shared" si="295"/>
        <v>1,0</v>
      </c>
      <c r="BF130" s="4" t="str">
        <f t="shared" si="296"/>
        <v>1,0</v>
      </c>
      <c r="BG130" s="4" t="str">
        <f t="shared" si="297"/>
        <v>1,0</v>
      </c>
      <c r="BH130" s="4" t="str">
        <f t="shared" si="298"/>
        <v>1,0</v>
      </c>
      <c r="BI130" s="4" t="str">
        <f t="shared" si="299"/>
        <v>1,0</v>
      </c>
      <c r="BJ130" s="4" t="str">
        <f t="shared" si="300"/>
        <v>1,0</v>
      </c>
    </row>
    <row r="131" customHeight="1" spans="1:62">
      <c r="A131" s="35">
        <v>803</v>
      </c>
      <c r="B131" s="60" t="s">
        <v>75</v>
      </c>
      <c r="C131" s="40" t="s">
        <v>218</v>
      </c>
      <c r="D131" s="41" t="s">
        <v>361</v>
      </c>
      <c r="E131" s="45">
        <v>1</v>
      </c>
      <c r="F131" s="35">
        <v>1</v>
      </c>
      <c r="G131" s="35">
        <f t="shared" si="301"/>
        <v>1</v>
      </c>
      <c r="H131" s="35">
        <v>1</v>
      </c>
      <c r="I131" s="35">
        <v>1</v>
      </c>
      <c r="J131" s="35">
        <v>1</v>
      </c>
      <c r="K131" s="35">
        <v>1</v>
      </c>
      <c r="L131" s="35">
        <v>1</v>
      </c>
      <c r="M131" s="35"/>
      <c r="N131">
        <f t="shared" si="302"/>
        <v>13500</v>
      </c>
      <c r="O131" s="35">
        <v>1</v>
      </c>
      <c r="P131" s="24">
        <f>ROUND(INDEX($C$2:$C$5,MATCH($E131,$B$2:$B$5,0))*$F131/SUMIFS($F:$F,$E:$E,$E131,$B:$B,$B131,O:O,1)*IF(B131=$B$10,0.9,1),0)</f>
        <v>6750</v>
      </c>
      <c r="Q131" s="24">
        <f t="shared" ref="Q131:U131" si="527">IF($L131&lt;=Q$8,1,0)</f>
        <v>1</v>
      </c>
      <c r="R131" s="24">
        <f>ROUND(INDEX($C$2:$C$5,MATCH($E131,$B$2:$B$5,0))*$I131/SUMIFS($I:$I,$E:$E,$E131,$B:$B,$B131,Q:Q,1)*IF(B131=$B$10,0.9,1),0)</f>
        <v>6750</v>
      </c>
      <c r="S131" s="24">
        <f t="shared" si="527"/>
        <v>1</v>
      </c>
      <c r="T131" s="24">
        <f>ROUND(INDEX($C$2:$C$5,MATCH($E131,$B$2:$B$5,0))*$J131/SUMIFS($J:$J,$E:$E,$E131,$B:$B,$B131,S:S,1)*IF(B131=$B$10,0.9,1),0)</f>
        <v>6750</v>
      </c>
      <c r="U131" s="24">
        <f t="shared" si="527"/>
        <v>1</v>
      </c>
      <c r="V131" s="24">
        <f>ROUND(INDEX($C$2:$C$5,MATCH($E131,$B$2:$B$5,0))*$K131/SUMIFS($K:$K,$E:$E,$E131,$B:$B,$B131,U:U,1)*IF(B131=$B$10,0.9,1),0)</f>
        <v>6750</v>
      </c>
      <c r="W131" s="24">
        <f t="shared" ref="W131:AA131" si="528">IF($L131&lt;=W$8,1,0)</f>
        <v>1</v>
      </c>
      <c r="X131" s="24">
        <f>ROUND(INDEX($C$2:$C$5,MATCH($E131,$B$2:$B$5,0))*$F131/SUMIFS($F:$F,$E:$E,$E131,$B:$B,$B131,W:W,1)*IF(B131=$B$10,0.9,1),0)</f>
        <v>6750</v>
      </c>
      <c r="Y131" s="24">
        <f t="shared" si="528"/>
        <v>1</v>
      </c>
      <c r="Z131" s="24">
        <f>ROUND(INDEX($C$2:$C$5,MATCH($E131,$B$2:$B$5,0))*$G131/SUMIFS($G:$G,$E:$E,$E131,$B:$B,$B131,Y:Y,1)*IF(B131=$B$10,0.9,1),0)</f>
        <v>6750</v>
      </c>
      <c r="AA131" s="24">
        <f t="shared" si="528"/>
        <v>1</v>
      </c>
      <c r="AB131" s="24">
        <f>ROUND(INDEX($C$2:$C$5,MATCH($E131,$B$2:$B$5,0))*$H131/SUMIFS($H:$H,$E:$E,$E131,$B:$B,$B131,AA:AA,1)*IF(B131=$B$10,0.9,1),0)</f>
        <v>6750</v>
      </c>
      <c r="AC131" s="24">
        <f t="shared" ref="AC131:AG131" si="529">IF($L131&lt;=AC$8,1,0)</f>
        <v>1</v>
      </c>
      <c r="AD131" s="24">
        <f>ROUND(INDEX($C$2:$C$5,MATCH($E131,$B$2:$B$5,0))*$F131/SUMIFS($F:$F,$E:$E,$E131,$B:$B,$B131,AC:AC,1)*IF(B131=$B$10,0.9,1),0)</f>
        <v>6750</v>
      </c>
      <c r="AE131" s="24">
        <f t="shared" si="529"/>
        <v>1</v>
      </c>
      <c r="AF131" s="24">
        <f>ROUND(INDEX($C$2:$C$5,MATCH($E131,$B$2:$B$5,0))*$G131/SUMIFS($G:$G,$E:$E,$E131,$B:$B,$B131,AE:AE,1)*IF(B131=$B$10,0.9,1),0)</f>
        <v>6750</v>
      </c>
      <c r="AG131" s="24">
        <f t="shared" si="529"/>
        <v>1</v>
      </c>
      <c r="AH131" s="24">
        <f>ROUND(INDEX($C$2:$C$5,MATCH($E131,$B$2:$B$5,0))*$H131/SUMIFS($H:$H,$E:$E,$E131,$B:$B,$B131,AG:AG,1)*IF(B131=$B$10,0.9,1),0)</f>
        <v>6750</v>
      </c>
      <c r="AI131" s="24">
        <f t="shared" ref="AI131:AM131" si="530">IF($L131&lt;=AI$8,1,0)</f>
        <v>1</v>
      </c>
      <c r="AJ131" s="24">
        <f>ROUND(INDEX($C$2:$C$5,MATCH($E131,$B$2:$B$5,0))*$F131/SUMIFS($F:$F,$E:$E,$E131,$B:$B,$B131,AI:AI,1)*IF(B131=$B$10,0.9,1),0)</f>
        <v>6750</v>
      </c>
      <c r="AK131" s="24">
        <f t="shared" si="530"/>
        <v>1</v>
      </c>
      <c r="AL131" s="24">
        <f>ROUND(INDEX($C$2:$C$5,MATCH($E131,$B$2:$B$5,0))*$G131/SUMIFS($G:$G,$E:$E,$E131,$B:$B,$B131,AK:AK,1)*IF(B131=$B$10,0.9,1),0)</f>
        <v>6750</v>
      </c>
      <c r="AM131" s="24">
        <f t="shared" si="530"/>
        <v>1</v>
      </c>
      <c r="AN131" s="24">
        <f>ROUND(INDEX($C$2:$C$5,MATCH($E131,$B$2:$B$5,0))*$H131/SUMIFS($H:$H,$E:$E,$E131,$B:$B,$B131,AM:AM,1)*IF(B131=$B$10,0.9,1),0)</f>
        <v>6750</v>
      </c>
      <c r="AX131" s="4" t="str">
        <f t="shared" si="288"/>
        <v>1,6750</v>
      </c>
      <c r="AY131" s="4" t="str">
        <f t="shared" si="289"/>
        <v>1,6750</v>
      </c>
      <c r="AZ131" s="4" t="str">
        <f t="shared" si="290"/>
        <v>1,6750</v>
      </c>
      <c r="BA131" s="4" t="str">
        <f t="shared" si="291"/>
        <v>1,6750</v>
      </c>
      <c r="BB131" s="4" t="str">
        <f t="shared" si="292"/>
        <v>1,6750</v>
      </c>
      <c r="BC131" s="4" t="str">
        <f t="shared" si="293"/>
        <v>1,6750</v>
      </c>
      <c r="BD131" s="4" t="str">
        <f t="shared" si="294"/>
        <v>1,6750</v>
      </c>
      <c r="BE131" s="4" t="str">
        <f t="shared" si="295"/>
        <v>1,6750</v>
      </c>
      <c r="BF131" s="4" t="str">
        <f t="shared" si="296"/>
        <v>1,6750</v>
      </c>
      <c r="BG131" s="4" t="str">
        <f t="shared" si="297"/>
        <v>1,6750</v>
      </c>
      <c r="BH131" s="4" t="str">
        <f t="shared" si="298"/>
        <v>1,6750</v>
      </c>
      <c r="BI131" s="4" t="str">
        <f t="shared" si="299"/>
        <v>1,6750</v>
      </c>
      <c r="BJ131" s="4" t="str">
        <f t="shared" si="300"/>
        <v>1,6750</v>
      </c>
    </row>
    <row r="132" customHeight="1" spans="1:62">
      <c r="A132" s="35">
        <v>811</v>
      </c>
      <c r="B132" s="60" t="s">
        <v>75</v>
      </c>
      <c r="C132" s="40" t="s">
        <v>218</v>
      </c>
      <c r="D132" s="44" t="s">
        <v>362</v>
      </c>
      <c r="E132" s="50">
        <v>2</v>
      </c>
      <c r="F132" s="35">
        <v>1</v>
      </c>
      <c r="G132" s="35">
        <f t="shared" si="301"/>
        <v>1</v>
      </c>
      <c r="H132" s="35">
        <v>1</v>
      </c>
      <c r="I132" s="35">
        <v>1</v>
      </c>
      <c r="J132" s="35">
        <v>1</v>
      </c>
      <c r="K132" s="35">
        <v>1</v>
      </c>
      <c r="L132" s="35">
        <v>1</v>
      </c>
      <c r="M132" s="35"/>
      <c r="N132">
        <f t="shared" si="302"/>
        <v>4500</v>
      </c>
      <c r="O132" s="35">
        <v>1</v>
      </c>
      <c r="P132" s="24">
        <f>ROUND(INDEX($C$2:$C$5,MATCH($E132,$B$2:$B$5,0))*$F132/SUMIFS($F:$F,$E:$E,$E132,$B:$B,$B132,O:O,1)*IF(B132=$B$10,0.9,1),0)</f>
        <v>1125</v>
      </c>
      <c r="Q132" s="24">
        <f t="shared" ref="Q132:U132" si="531">IF($L132&lt;=Q$8,1,0)</f>
        <v>1</v>
      </c>
      <c r="R132" s="24">
        <f>ROUND(INDEX($C$2:$C$5,MATCH($E132,$B$2:$B$5,0))*$I132/SUMIFS($I:$I,$E:$E,$E132,$B:$B,$B132,Q:Q,1)*IF(B132=$B$10,0.9,1),0)</f>
        <v>1500</v>
      </c>
      <c r="S132" s="24">
        <f t="shared" si="531"/>
        <v>1</v>
      </c>
      <c r="T132" s="24">
        <f>ROUND(INDEX($C$2:$C$5,MATCH($E132,$B$2:$B$5,0))*$J132/SUMIFS($J:$J,$E:$E,$E132,$B:$B,$B132,S:S,1)*IF(B132=$B$10,0.9,1),0)</f>
        <v>1500</v>
      </c>
      <c r="U132" s="24">
        <f t="shared" si="531"/>
        <v>1</v>
      </c>
      <c r="V132" s="24">
        <f>ROUND(INDEX($C$2:$C$5,MATCH($E132,$B$2:$B$5,0))*$K132/SUMIFS($K:$K,$E:$E,$E132,$B:$B,$B132,U:U,1)*IF(B132=$B$10,0.9,1),0)</f>
        <v>1500</v>
      </c>
      <c r="W132" s="24">
        <f t="shared" ref="W132:AA132" si="532">IF($L132&lt;=W$8,1,0)</f>
        <v>1</v>
      </c>
      <c r="X132" s="24">
        <f>ROUND(INDEX($C$2:$C$5,MATCH($E132,$B$2:$B$5,0))*$F132/SUMIFS($F:$F,$E:$E,$E132,$B:$B,$B132,W:W,1)*IF(B132=$B$10,0.9,1),0)</f>
        <v>1125</v>
      </c>
      <c r="Y132" s="24">
        <f t="shared" si="532"/>
        <v>1</v>
      </c>
      <c r="Z132" s="24">
        <f>ROUND(INDEX($C$2:$C$5,MATCH($E132,$B$2:$B$5,0))*$G132/SUMIFS($G:$G,$E:$E,$E132,$B:$B,$B132,Y:Y,1)*IF(B132=$B$10,0.9,1),0)</f>
        <v>1125</v>
      </c>
      <c r="AA132" s="24">
        <f t="shared" si="532"/>
        <v>1</v>
      </c>
      <c r="AB132" s="24">
        <f>ROUND(INDEX($C$2:$C$5,MATCH($E132,$B$2:$B$5,0))*$H132/SUMIFS($H:$H,$E:$E,$E132,$B:$B,$B132,AA:AA,1)*IF(B132=$B$10,0.9,1),0)</f>
        <v>1125</v>
      </c>
      <c r="AC132" s="24">
        <f t="shared" ref="AC132:AG132" si="533">IF($L132&lt;=AC$8,1,0)</f>
        <v>1</v>
      </c>
      <c r="AD132" s="24">
        <f>ROUND(INDEX($C$2:$C$5,MATCH($E132,$B$2:$B$5,0))*$F132/SUMIFS($F:$F,$E:$E,$E132,$B:$B,$B132,AC:AC,1)*IF(B132=$B$10,0.9,1),0)</f>
        <v>1125</v>
      </c>
      <c r="AE132" s="24">
        <f t="shared" si="533"/>
        <v>1</v>
      </c>
      <c r="AF132" s="24">
        <f>ROUND(INDEX($C$2:$C$5,MATCH($E132,$B$2:$B$5,0))*$G132/SUMIFS($G:$G,$E:$E,$E132,$B:$B,$B132,AE:AE,1)*IF(B132=$B$10,0.9,1),0)</f>
        <v>1125</v>
      </c>
      <c r="AG132" s="24">
        <f t="shared" si="533"/>
        <v>1</v>
      </c>
      <c r="AH132" s="24">
        <f>ROUND(INDEX($C$2:$C$5,MATCH($E132,$B$2:$B$5,0))*$H132/SUMIFS($H:$H,$E:$E,$E132,$B:$B,$B132,AG:AG,1)*IF(B132=$B$10,0.9,1),0)</f>
        <v>1125</v>
      </c>
      <c r="AI132" s="24">
        <f t="shared" ref="AI132:AM132" si="534">IF($L132&lt;=AI$8,1,0)</f>
        <v>1</v>
      </c>
      <c r="AJ132" s="24">
        <f>ROUND(INDEX($C$2:$C$5,MATCH($E132,$B$2:$B$5,0))*$F132/SUMIFS($F:$F,$E:$E,$E132,$B:$B,$B132,AI:AI,1)*IF(B132=$B$10,0.9,1),0)</f>
        <v>1125</v>
      </c>
      <c r="AK132" s="24">
        <f t="shared" si="534"/>
        <v>1</v>
      </c>
      <c r="AL132" s="24">
        <f>ROUND(INDEX($C$2:$C$5,MATCH($E132,$B$2:$B$5,0))*$G132/SUMIFS($G:$G,$E:$E,$E132,$B:$B,$B132,AK:AK,1)*IF(B132=$B$10,0.9,1),0)</f>
        <v>1125</v>
      </c>
      <c r="AM132" s="24">
        <f t="shared" si="534"/>
        <v>1</v>
      </c>
      <c r="AN132" s="24">
        <f>ROUND(INDEX($C$2:$C$5,MATCH($E132,$B$2:$B$5,0))*$H132/SUMIFS($H:$H,$E:$E,$E132,$B:$B,$B132,AM:AM,1)*IF(B132=$B$10,0.9,1),0)</f>
        <v>1125</v>
      </c>
      <c r="AX132" s="4" t="str">
        <f t="shared" si="288"/>
        <v>1,1125</v>
      </c>
      <c r="AY132" s="4" t="str">
        <f t="shared" si="289"/>
        <v>1,1500</v>
      </c>
      <c r="AZ132" s="4" t="str">
        <f t="shared" si="290"/>
        <v>1,1500</v>
      </c>
      <c r="BA132" s="4" t="str">
        <f t="shared" si="291"/>
        <v>1,1500</v>
      </c>
      <c r="BB132" s="4" t="str">
        <f t="shared" si="292"/>
        <v>1,1125</v>
      </c>
      <c r="BC132" s="4" t="str">
        <f t="shared" si="293"/>
        <v>1,1125</v>
      </c>
      <c r="BD132" s="4" t="str">
        <f t="shared" si="294"/>
        <v>1,1125</v>
      </c>
      <c r="BE132" s="4" t="str">
        <f t="shared" si="295"/>
        <v>1,1125</v>
      </c>
      <c r="BF132" s="4" t="str">
        <f t="shared" si="296"/>
        <v>1,1125</v>
      </c>
      <c r="BG132" s="4" t="str">
        <f t="shared" si="297"/>
        <v>1,1125</v>
      </c>
      <c r="BH132" s="4" t="str">
        <f t="shared" si="298"/>
        <v>1,1125</v>
      </c>
      <c r="BI132" s="4" t="str">
        <f t="shared" si="299"/>
        <v>1,1125</v>
      </c>
      <c r="BJ132" s="4" t="str">
        <f t="shared" si="300"/>
        <v>1,1125</v>
      </c>
    </row>
    <row r="133" customHeight="1" spans="1:62">
      <c r="A133" s="49">
        <v>812</v>
      </c>
      <c r="B133" s="60" t="s">
        <v>75</v>
      </c>
      <c r="C133" s="40" t="s">
        <v>218</v>
      </c>
      <c r="D133" s="44" t="s">
        <v>363</v>
      </c>
      <c r="E133" s="50">
        <v>2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/>
      <c r="N133">
        <f t="shared" si="302"/>
        <v>4500</v>
      </c>
      <c r="O133" s="35">
        <v>1</v>
      </c>
      <c r="P133" s="24">
        <f>ROUND(INDEX($C$2:$C$5,MATCH($E133,$B$2:$B$5,0))*$F133/SUMIFS($F:$F,$E:$E,$E133,$B:$B,$B133,O:O,1)*IF(B133=$B$10,0.9,1),0)</f>
        <v>0</v>
      </c>
      <c r="Q133" s="24">
        <f t="shared" ref="Q133:U133" si="535">IF($L133&lt;=Q$8,1,0)</f>
        <v>1</v>
      </c>
      <c r="R133" s="24">
        <f>ROUND(INDEX($C$2:$C$5,MATCH($E133,$B$2:$B$5,0))*$I133/SUMIFS($I:$I,$E:$E,$E133,$B:$B,$B133,Q:Q,1)*IF(B133=$B$10,0.9,1),0)</f>
        <v>0</v>
      </c>
      <c r="S133" s="24">
        <f t="shared" si="535"/>
        <v>1</v>
      </c>
      <c r="T133" s="24">
        <f>ROUND(INDEX($C$2:$C$5,MATCH($E133,$B$2:$B$5,0))*$J133/SUMIFS($J:$J,$E:$E,$E133,$B:$B,$B133,S:S,1)*IF(B133=$B$10,0.9,1),0)</f>
        <v>0</v>
      </c>
      <c r="U133" s="24">
        <f t="shared" si="535"/>
        <v>1</v>
      </c>
      <c r="V133" s="24">
        <f>ROUND(INDEX($C$2:$C$5,MATCH($E133,$B$2:$B$5,0))*$K133/SUMIFS($K:$K,$E:$E,$E133,$B:$B,$B133,U:U,1)*IF(B133=$B$10,0.9,1),0)</f>
        <v>0</v>
      </c>
      <c r="W133" s="24">
        <f t="shared" ref="W133:AA133" si="536">IF($L133&lt;=W$8,1,0)</f>
        <v>1</v>
      </c>
      <c r="X133" s="24">
        <f>ROUND(INDEX($C$2:$C$5,MATCH($E133,$B$2:$B$5,0))*$F133/SUMIFS($F:$F,$E:$E,$E133,$B:$B,$B133,W:W,1)*IF(B133=$B$10,0.9,1),0)</f>
        <v>0</v>
      </c>
      <c r="Y133" s="24">
        <f t="shared" si="536"/>
        <v>1</v>
      </c>
      <c r="Z133" s="24">
        <f>ROUND(INDEX($C$2:$C$5,MATCH($E133,$B$2:$B$5,0))*$G133/SUMIFS($G:$G,$E:$E,$E133,$B:$B,$B133,Y:Y,1)*IF(B133=$B$10,0.9,1),0)</f>
        <v>0</v>
      </c>
      <c r="AA133" s="24">
        <f t="shared" si="536"/>
        <v>1</v>
      </c>
      <c r="AB133" s="24">
        <f>ROUND(INDEX($C$2:$C$5,MATCH($E133,$B$2:$B$5,0))*$H133/SUMIFS($H:$H,$E:$E,$E133,$B:$B,$B133,AA:AA,1)*IF(B133=$B$10,0.9,1),0)</f>
        <v>0</v>
      </c>
      <c r="AC133" s="24">
        <f t="shared" ref="AC133:AG133" si="537">IF($L133&lt;=AC$8,1,0)</f>
        <v>1</v>
      </c>
      <c r="AD133" s="24">
        <f>ROUND(INDEX($C$2:$C$5,MATCH($E133,$B$2:$B$5,0))*$F133/SUMIFS($F:$F,$E:$E,$E133,$B:$B,$B133,AC:AC,1)*IF(B133=$B$10,0.9,1),0)</f>
        <v>0</v>
      </c>
      <c r="AE133" s="24">
        <f t="shared" si="537"/>
        <v>1</v>
      </c>
      <c r="AF133" s="24">
        <f>ROUND(INDEX($C$2:$C$5,MATCH($E133,$B$2:$B$5,0))*$G133/SUMIFS($G:$G,$E:$E,$E133,$B:$B,$B133,AE:AE,1)*IF(B133=$B$10,0.9,1),0)</f>
        <v>0</v>
      </c>
      <c r="AG133" s="24">
        <f t="shared" si="537"/>
        <v>1</v>
      </c>
      <c r="AH133" s="24">
        <f>ROUND(INDEX($C$2:$C$5,MATCH($E133,$B$2:$B$5,0))*$H133/SUMIFS($H:$H,$E:$E,$E133,$B:$B,$B133,AG:AG,1)*IF(B133=$B$10,0.9,1),0)</f>
        <v>0</v>
      </c>
      <c r="AI133" s="24">
        <f t="shared" ref="AI133:AM133" si="538">IF($L133&lt;=AI$8,1,0)</f>
        <v>1</v>
      </c>
      <c r="AJ133" s="24">
        <f>ROUND(INDEX($C$2:$C$5,MATCH($E133,$B$2:$B$5,0))*$F133/SUMIFS($F:$F,$E:$E,$E133,$B:$B,$B133,AI:AI,1)*IF(B133=$B$10,0.9,1),0)</f>
        <v>0</v>
      </c>
      <c r="AK133" s="24">
        <f t="shared" si="538"/>
        <v>1</v>
      </c>
      <c r="AL133" s="24">
        <f>ROUND(INDEX($C$2:$C$5,MATCH($E133,$B$2:$B$5,0))*$G133/SUMIFS($G:$G,$E:$E,$E133,$B:$B,$B133,AK:AK,1)*IF(B133=$B$10,0.9,1),0)</f>
        <v>0</v>
      </c>
      <c r="AM133" s="24">
        <f t="shared" si="538"/>
        <v>1</v>
      </c>
      <c r="AN133" s="24">
        <f>ROUND(INDEX($C$2:$C$5,MATCH($E133,$B$2:$B$5,0))*$H133/SUMIFS($H:$H,$E:$E,$E133,$B:$B,$B133,AM:AM,1)*IF(B133=$B$10,0.9,1),0)</f>
        <v>0</v>
      </c>
      <c r="AX133" s="4" t="str">
        <f t="shared" si="288"/>
        <v>1,0</v>
      </c>
      <c r="AY133" s="4" t="str">
        <f t="shared" si="289"/>
        <v>1,0</v>
      </c>
      <c r="AZ133" s="4" t="str">
        <f t="shared" si="290"/>
        <v>1,0</v>
      </c>
      <c r="BA133" s="4" t="str">
        <f t="shared" si="291"/>
        <v>1,0</v>
      </c>
      <c r="BB133" s="4" t="str">
        <f t="shared" si="292"/>
        <v>1,0</v>
      </c>
      <c r="BC133" s="4" t="str">
        <f t="shared" si="293"/>
        <v>1,0</v>
      </c>
      <c r="BD133" s="4" t="str">
        <f t="shared" si="294"/>
        <v>1,0</v>
      </c>
      <c r="BE133" s="4" t="str">
        <f t="shared" si="295"/>
        <v>1,0</v>
      </c>
      <c r="BF133" s="4" t="str">
        <f t="shared" si="296"/>
        <v>1,0</v>
      </c>
      <c r="BG133" s="4" t="str">
        <f t="shared" si="297"/>
        <v>1,0</v>
      </c>
      <c r="BH133" s="4" t="str">
        <f t="shared" si="298"/>
        <v>1,0</v>
      </c>
      <c r="BI133" s="4" t="str">
        <f t="shared" si="299"/>
        <v>1,0</v>
      </c>
      <c r="BJ133" s="4" t="str">
        <f t="shared" si="300"/>
        <v>1,0</v>
      </c>
    </row>
    <row r="134" customHeight="1" spans="1:62">
      <c r="A134" s="49">
        <v>813</v>
      </c>
      <c r="B134" s="40" t="s">
        <v>75</v>
      </c>
      <c r="C134" s="40"/>
      <c r="D134" s="44" t="s">
        <v>364</v>
      </c>
      <c r="E134" s="35">
        <v>2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/>
      <c r="N134">
        <f t="shared" si="302"/>
        <v>4500</v>
      </c>
      <c r="O134" s="35">
        <v>1</v>
      </c>
      <c r="P134" s="24">
        <f>ROUND(INDEX($C$2:$C$5,MATCH($E134,$B$2:$B$5,0))*$F134/SUMIFS($F:$F,$E:$E,$E134,$B:$B,$B134,O:O,1)*IF(B134=$B$10,0.9,1),0)</f>
        <v>0</v>
      </c>
      <c r="Q134" s="24">
        <f t="shared" ref="Q134:U134" si="539">IF($L134&lt;=Q$8,1,0)</f>
        <v>1</v>
      </c>
      <c r="R134" s="24">
        <f>ROUND(INDEX($C$2:$C$5,MATCH($E134,$B$2:$B$5,0))*$I134/SUMIFS($I:$I,$E:$E,$E134,$B:$B,$B134,Q:Q,1)*IF(B134=$B$10,0.9,1),0)</f>
        <v>0</v>
      </c>
      <c r="S134" s="24">
        <f t="shared" si="539"/>
        <v>1</v>
      </c>
      <c r="T134" s="24">
        <f>ROUND(INDEX($C$2:$C$5,MATCH($E134,$B$2:$B$5,0))*$J134/SUMIFS($J:$J,$E:$E,$E134,$B:$B,$B134,S:S,1)*IF(B134=$B$10,0.9,1),0)</f>
        <v>0</v>
      </c>
      <c r="U134" s="24">
        <f t="shared" si="539"/>
        <v>1</v>
      </c>
      <c r="V134" s="24">
        <f>ROUND(INDEX($C$2:$C$5,MATCH($E134,$B$2:$B$5,0))*$K134/SUMIFS($K:$K,$E:$E,$E134,$B:$B,$B134,U:U,1)*IF(B134=$B$10,0.9,1),0)</f>
        <v>0</v>
      </c>
      <c r="W134" s="24">
        <f t="shared" ref="W134:AA134" si="540">IF($L134&lt;=W$8,1,0)</f>
        <v>1</v>
      </c>
      <c r="X134" s="24">
        <f>ROUND(INDEX($C$2:$C$5,MATCH($E134,$B$2:$B$5,0))*$F134/SUMIFS($F:$F,$E:$E,$E134,$B:$B,$B134,W:W,1)*IF(B134=$B$10,0.9,1),0)</f>
        <v>0</v>
      </c>
      <c r="Y134" s="24">
        <f t="shared" si="540"/>
        <v>1</v>
      </c>
      <c r="Z134" s="24">
        <f>ROUND(INDEX($C$2:$C$5,MATCH($E134,$B$2:$B$5,0))*$G134/SUMIFS($G:$G,$E:$E,$E134,$B:$B,$B134,Y:Y,1)*IF(B134=$B$10,0.9,1),0)</f>
        <v>0</v>
      </c>
      <c r="AA134" s="24">
        <f t="shared" si="540"/>
        <v>1</v>
      </c>
      <c r="AB134" s="24">
        <f>ROUND(INDEX($C$2:$C$5,MATCH($E134,$B$2:$B$5,0))*$H134/SUMIFS($H:$H,$E:$E,$E134,$B:$B,$B134,AA:AA,1)*IF(B134=$B$10,0.9,1),0)</f>
        <v>0</v>
      </c>
      <c r="AC134" s="24">
        <f t="shared" ref="AC134:AG134" si="541">IF($L134&lt;=AC$8,1,0)</f>
        <v>1</v>
      </c>
      <c r="AD134" s="24">
        <f>ROUND(INDEX($C$2:$C$5,MATCH($E134,$B$2:$B$5,0))*$F134/SUMIFS($F:$F,$E:$E,$E134,$B:$B,$B134,AC:AC,1)*IF(B134=$B$10,0.9,1),0)</f>
        <v>0</v>
      </c>
      <c r="AE134" s="24">
        <f t="shared" si="541"/>
        <v>1</v>
      </c>
      <c r="AF134" s="24">
        <f>ROUND(INDEX($C$2:$C$5,MATCH($E134,$B$2:$B$5,0))*$G134/SUMIFS($G:$G,$E:$E,$E134,$B:$B,$B134,AE:AE,1)*IF(B134=$B$10,0.9,1),0)</f>
        <v>0</v>
      </c>
      <c r="AG134" s="24">
        <f t="shared" si="541"/>
        <v>1</v>
      </c>
      <c r="AH134" s="24">
        <f>ROUND(INDEX($C$2:$C$5,MATCH($E134,$B$2:$B$5,0))*$H134/SUMIFS($H:$H,$E:$E,$E134,$B:$B,$B134,AG:AG,1)*IF(B134=$B$10,0.9,1),0)</f>
        <v>0</v>
      </c>
      <c r="AI134" s="24">
        <f t="shared" ref="AI134:AM134" si="542">IF($L134&lt;=AI$8,1,0)</f>
        <v>1</v>
      </c>
      <c r="AJ134" s="24">
        <f>ROUND(INDEX($C$2:$C$5,MATCH($E134,$B$2:$B$5,0))*$F134/SUMIFS($F:$F,$E:$E,$E134,$B:$B,$B134,AI:AI,1)*IF(B134=$B$10,0.9,1),0)</f>
        <v>0</v>
      </c>
      <c r="AK134" s="24">
        <f t="shared" si="542"/>
        <v>1</v>
      </c>
      <c r="AL134" s="24">
        <f>ROUND(INDEX($C$2:$C$5,MATCH($E134,$B$2:$B$5,0))*$G134/SUMIFS($G:$G,$E:$E,$E134,$B:$B,$B134,AK:AK,1)*IF(B134=$B$10,0.9,1),0)</f>
        <v>0</v>
      </c>
      <c r="AM134" s="24">
        <f t="shared" si="542"/>
        <v>1</v>
      </c>
      <c r="AN134" s="24">
        <f>ROUND(INDEX($C$2:$C$5,MATCH($E134,$B$2:$B$5,0))*$H134/SUMIFS($H:$H,$E:$E,$E134,$B:$B,$B134,AM:AM,1)*IF(B134=$B$10,0.9,1),0)</f>
        <v>0</v>
      </c>
      <c r="AX134" s="4" t="str">
        <f t="shared" si="288"/>
        <v>1,0</v>
      </c>
      <c r="AY134" s="4" t="str">
        <f t="shared" si="289"/>
        <v>1,0</v>
      </c>
      <c r="AZ134" s="4" t="str">
        <f t="shared" si="290"/>
        <v>1,0</v>
      </c>
      <c r="BA134" s="4" t="str">
        <f t="shared" si="291"/>
        <v>1,0</v>
      </c>
      <c r="BB134" s="4" t="str">
        <f t="shared" si="292"/>
        <v>1,0</v>
      </c>
      <c r="BC134" s="4" t="str">
        <f t="shared" si="293"/>
        <v>1,0</v>
      </c>
      <c r="BD134" s="4" t="str">
        <f t="shared" si="294"/>
        <v>1,0</v>
      </c>
      <c r="BE134" s="4" t="str">
        <f t="shared" si="295"/>
        <v>1,0</v>
      </c>
      <c r="BF134" s="4" t="str">
        <f t="shared" si="296"/>
        <v>1,0</v>
      </c>
      <c r="BG134" s="4" t="str">
        <f t="shared" si="297"/>
        <v>1,0</v>
      </c>
      <c r="BH134" s="4" t="str">
        <f t="shared" si="298"/>
        <v>1,0</v>
      </c>
      <c r="BI134" s="4" t="str">
        <f t="shared" si="299"/>
        <v>1,0</v>
      </c>
      <c r="BJ134" s="4" t="str">
        <f t="shared" si="300"/>
        <v>1,0</v>
      </c>
    </row>
    <row r="135" customHeight="1" spans="1:62">
      <c r="A135" s="35">
        <v>814</v>
      </c>
      <c r="B135" s="40" t="s">
        <v>75</v>
      </c>
      <c r="C135" s="40"/>
      <c r="D135" s="44" t="s">
        <v>365</v>
      </c>
      <c r="E135" s="43">
        <v>2</v>
      </c>
      <c r="F135" s="35">
        <v>1</v>
      </c>
      <c r="G135" s="35">
        <f t="shared" si="301"/>
        <v>1</v>
      </c>
      <c r="H135" s="35">
        <v>1</v>
      </c>
      <c r="I135" s="35">
        <v>1</v>
      </c>
      <c r="J135" s="35">
        <v>1</v>
      </c>
      <c r="K135" s="35">
        <v>1</v>
      </c>
      <c r="L135" s="35">
        <v>1</v>
      </c>
      <c r="M135" s="35" t="s">
        <v>136</v>
      </c>
      <c r="N135">
        <f t="shared" si="302"/>
        <v>4500</v>
      </c>
      <c r="O135" s="35">
        <v>1</v>
      </c>
      <c r="P135" s="24">
        <f>ROUND(INDEX($C$2:$C$5,MATCH($E135,$B$2:$B$5,0))*$F135/SUMIFS($F:$F,$E:$E,$E135,$B:$B,$B135,O:O,1)*IF(B135=$B$10,0.9,1),0)</f>
        <v>1125</v>
      </c>
      <c r="Q135" s="24">
        <f t="shared" ref="Q135:U135" si="543">IF($L135&lt;=Q$8,1,0)</f>
        <v>1</v>
      </c>
      <c r="R135" s="24">
        <f>ROUND(INDEX($C$2:$C$5,MATCH($E135,$B$2:$B$5,0))*$I135/SUMIFS($I:$I,$E:$E,$E135,$B:$B,$B135,Q:Q,1)*IF(B135=$B$10,0.9,1),0)</f>
        <v>1500</v>
      </c>
      <c r="S135" s="24">
        <f t="shared" si="543"/>
        <v>1</v>
      </c>
      <c r="T135" s="24">
        <f>ROUND(INDEX($C$2:$C$5,MATCH($E135,$B$2:$B$5,0))*$J135/SUMIFS($J:$J,$E:$E,$E135,$B:$B,$B135,S:S,1)*IF(B135=$B$10,0.9,1),0)</f>
        <v>1500</v>
      </c>
      <c r="U135" s="24">
        <f t="shared" si="543"/>
        <v>1</v>
      </c>
      <c r="V135" s="24">
        <f>ROUND(INDEX($C$2:$C$5,MATCH($E135,$B$2:$B$5,0))*$K135/SUMIFS($K:$K,$E:$E,$E135,$B:$B,$B135,U:U,1)*IF(B135=$B$10,0.9,1),0)</f>
        <v>1500</v>
      </c>
      <c r="W135" s="24">
        <f t="shared" ref="W135:AA135" si="544">IF($L135&lt;=W$8,1,0)</f>
        <v>1</v>
      </c>
      <c r="X135" s="24">
        <f>ROUND(INDEX($C$2:$C$5,MATCH($E135,$B$2:$B$5,0))*$F135/SUMIFS($F:$F,$E:$E,$E135,$B:$B,$B135,W:W,1)*IF(B135=$B$10,0.9,1),0)</f>
        <v>1125</v>
      </c>
      <c r="Y135" s="24">
        <f t="shared" si="544"/>
        <v>1</v>
      </c>
      <c r="Z135" s="24">
        <f>ROUND(INDEX($C$2:$C$5,MATCH($E135,$B$2:$B$5,0))*$G135/SUMIFS($G:$G,$E:$E,$E135,$B:$B,$B135,Y:Y,1)*IF(B135=$B$10,0.9,1),0)</f>
        <v>1125</v>
      </c>
      <c r="AA135" s="24">
        <f t="shared" si="544"/>
        <v>1</v>
      </c>
      <c r="AB135" s="24">
        <f>ROUND(INDEX($C$2:$C$5,MATCH($E135,$B$2:$B$5,0))*$H135/SUMIFS($H:$H,$E:$E,$E135,$B:$B,$B135,AA:AA,1)*IF(B135=$B$10,0.9,1),0)</f>
        <v>1125</v>
      </c>
      <c r="AC135" s="24">
        <f t="shared" ref="AC135:AG135" si="545">IF($L135&lt;=AC$8,1,0)</f>
        <v>1</v>
      </c>
      <c r="AD135" s="24">
        <f>ROUND(INDEX($C$2:$C$5,MATCH($E135,$B$2:$B$5,0))*$F135/SUMIFS($F:$F,$E:$E,$E135,$B:$B,$B135,AC:AC,1)*IF(B135=$B$10,0.9,1),0)</f>
        <v>1125</v>
      </c>
      <c r="AE135" s="24">
        <f t="shared" si="545"/>
        <v>1</v>
      </c>
      <c r="AF135" s="24">
        <f>ROUND(INDEX($C$2:$C$5,MATCH($E135,$B$2:$B$5,0))*$G135/SUMIFS($G:$G,$E:$E,$E135,$B:$B,$B135,AE:AE,1)*IF(B135=$B$10,0.9,1),0)</f>
        <v>1125</v>
      </c>
      <c r="AG135" s="24">
        <f t="shared" si="545"/>
        <v>1</v>
      </c>
      <c r="AH135" s="24">
        <f>ROUND(INDEX($C$2:$C$5,MATCH($E135,$B$2:$B$5,0))*$H135/SUMIFS($H:$H,$E:$E,$E135,$B:$B,$B135,AG:AG,1)*IF(B135=$B$10,0.9,1),0)</f>
        <v>1125</v>
      </c>
      <c r="AI135" s="24">
        <f t="shared" ref="AI135:AM135" si="546">IF($L135&lt;=AI$8,1,0)</f>
        <v>1</v>
      </c>
      <c r="AJ135" s="24">
        <f>ROUND(INDEX($C$2:$C$5,MATCH($E135,$B$2:$B$5,0))*$F135/SUMIFS($F:$F,$E:$E,$E135,$B:$B,$B135,AI:AI,1)*IF(B135=$B$10,0.9,1),0)</f>
        <v>1125</v>
      </c>
      <c r="AK135" s="24">
        <f t="shared" si="546"/>
        <v>1</v>
      </c>
      <c r="AL135" s="24">
        <f>ROUND(INDEX($C$2:$C$5,MATCH($E135,$B$2:$B$5,0))*$G135/SUMIFS($G:$G,$E:$E,$E135,$B:$B,$B135,AK:AK,1)*IF(B135=$B$10,0.9,1),0)</f>
        <v>1125</v>
      </c>
      <c r="AM135" s="24">
        <f t="shared" si="546"/>
        <v>1</v>
      </c>
      <c r="AN135" s="24">
        <f>ROUND(INDEX($C$2:$C$5,MATCH($E135,$B$2:$B$5,0))*$H135/SUMIFS($H:$H,$E:$E,$E135,$B:$B,$B135,AM:AM,1)*IF(B135=$B$10,0.9,1),0)</f>
        <v>1125</v>
      </c>
      <c r="AX135" s="4" t="str">
        <f t="shared" si="288"/>
        <v>1,1125</v>
      </c>
      <c r="AY135" s="4" t="str">
        <f t="shared" si="289"/>
        <v>1,1500</v>
      </c>
      <c r="AZ135" s="4" t="str">
        <f t="shared" si="290"/>
        <v>1,1500</v>
      </c>
      <c r="BA135" s="4" t="str">
        <f t="shared" si="291"/>
        <v>1,1500</v>
      </c>
      <c r="BB135" s="4" t="str">
        <f t="shared" si="292"/>
        <v>1,1125</v>
      </c>
      <c r="BC135" s="4" t="str">
        <f t="shared" si="293"/>
        <v>1,1125</v>
      </c>
      <c r="BD135" s="4" t="str">
        <f t="shared" si="294"/>
        <v>1,1125</v>
      </c>
      <c r="BE135" s="4" t="str">
        <f t="shared" si="295"/>
        <v>1,1125</v>
      </c>
      <c r="BF135" s="4" t="str">
        <f t="shared" si="296"/>
        <v>1,1125</v>
      </c>
      <c r="BG135" s="4" t="str">
        <f t="shared" si="297"/>
        <v>1,1125</v>
      </c>
      <c r="BH135" s="4" t="str">
        <f t="shared" si="298"/>
        <v>1,1125</v>
      </c>
      <c r="BI135" s="4" t="str">
        <f t="shared" si="299"/>
        <v>1,1125</v>
      </c>
      <c r="BJ135" s="4" t="str">
        <f t="shared" si="300"/>
        <v>1,1125</v>
      </c>
    </row>
    <row r="136" customHeight="1" spans="1:62">
      <c r="A136" s="35">
        <v>821</v>
      </c>
      <c r="B136" s="40" t="s">
        <v>75</v>
      </c>
      <c r="C136" s="40"/>
      <c r="D136" s="46" t="s">
        <v>366</v>
      </c>
      <c r="E136" s="43">
        <v>3</v>
      </c>
      <c r="F136" s="35">
        <v>1</v>
      </c>
      <c r="G136" s="35">
        <f t="shared" si="301"/>
        <v>1</v>
      </c>
      <c r="H136" s="35">
        <v>1</v>
      </c>
      <c r="I136" s="35">
        <v>1</v>
      </c>
      <c r="J136" s="35">
        <v>1</v>
      </c>
      <c r="K136" s="35">
        <v>1</v>
      </c>
      <c r="L136" s="35">
        <v>1</v>
      </c>
      <c r="M136" s="35"/>
      <c r="N136">
        <f t="shared" si="302"/>
        <v>1500</v>
      </c>
      <c r="O136" s="35">
        <v>1</v>
      </c>
      <c r="P136" s="24">
        <f>ROUND(INDEX($C$2:$C$5,MATCH($E136,$B$2:$B$5,0))*$F136/SUMIFS($F:$F,$E:$E,$E136,$B:$B,$B136,O:O,1)*IF(B136=$B$10,0.9,1),0)</f>
        <v>250</v>
      </c>
      <c r="Q136" s="24">
        <f t="shared" ref="Q136:U136" si="547">IF($L136&lt;=Q$8,1,0)</f>
        <v>1</v>
      </c>
      <c r="R136" s="24">
        <f>ROUND(INDEX($C$2:$C$5,MATCH($E136,$B$2:$B$5,0))*$I136/SUMIFS($I:$I,$E:$E,$E136,$B:$B,$B136,Q:Q,1)*IF(B136=$B$10,0.9,1),0)</f>
        <v>250</v>
      </c>
      <c r="S136" s="24">
        <f t="shared" si="547"/>
        <v>1</v>
      </c>
      <c r="T136" s="24">
        <f>ROUND(INDEX($C$2:$C$5,MATCH($E136,$B$2:$B$5,0))*$J136/SUMIFS($J:$J,$E:$E,$E136,$B:$B,$B136,S:S,1)*IF(B136=$B$10,0.9,1),0)</f>
        <v>250</v>
      </c>
      <c r="U136" s="24">
        <f t="shared" si="547"/>
        <v>1</v>
      </c>
      <c r="V136" s="24">
        <f>ROUND(INDEX($C$2:$C$5,MATCH($E136,$B$2:$B$5,0))*$K136/SUMIFS($K:$K,$E:$E,$E136,$B:$B,$B136,U:U,1)*IF(B136=$B$10,0.9,1),0)</f>
        <v>250</v>
      </c>
      <c r="W136" s="24">
        <f t="shared" ref="W136:AA136" si="548">IF($L136&lt;=W$8,1,0)</f>
        <v>1</v>
      </c>
      <c r="X136" s="24">
        <f>ROUND(INDEX($C$2:$C$5,MATCH($E136,$B$2:$B$5,0))*$F136/SUMIFS($F:$F,$E:$E,$E136,$B:$B,$B136,W:W,1)*IF(B136=$B$10,0.9,1),0)</f>
        <v>250</v>
      </c>
      <c r="Y136" s="24">
        <f t="shared" si="548"/>
        <v>1</v>
      </c>
      <c r="Z136" s="24">
        <f>ROUND(INDEX($C$2:$C$5,MATCH($E136,$B$2:$B$5,0))*$G136/SUMIFS($G:$G,$E:$E,$E136,$B:$B,$B136,Y:Y,1)*IF(B136=$B$10,0.9,1),0)</f>
        <v>250</v>
      </c>
      <c r="AA136" s="24">
        <f t="shared" si="548"/>
        <v>1</v>
      </c>
      <c r="AB136" s="24">
        <f>ROUND(INDEX($C$2:$C$5,MATCH($E136,$B$2:$B$5,0))*$H136/SUMIFS($H:$H,$E:$E,$E136,$B:$B,$B136,AA:AA,1)*IF(B136=$B$10,0.9,1),0)</f>
        <v>250</v>
      </c>
      <c r="AC136" s="24">
        <f t="shared" ref="AC136:AG136" si="549">IF($L136&lt;=AC$8,1,0)</f>
        <v>1</v>
      </c>
      <c r="AD136" s="24">
        <f>ROUND(INDEX($C$2:$C$5,MATCH($E136,$B$2:$B$5,0))*$F136/SUMIFS($F:$F,$E:$E,$E136,$B:$B,$B136,AC:AC,1)*IF(B136=$B$10,0.9,1),0)</f>
        <v>250</v>
      </c>
      <c r="AE136" s="24">
        <f t="shared" si="549"/>
        <v>1</v>
      </c>
      <c r="AF136" s="24">
        <f>ROUND(INDEX($C$2:$C$5,MATCH($E136,$B$2:$B$5,0))*$G136/SUMIFS($G:$G,$E:$E,$E136,$B:$B,$B136,AE:AE,1)*IF(B136=$B$10,0.9,1),0)</f>
        <v>250</v>
      </c>
      <c r="AG136" s="24">
        <f t="shared" si="549"/>
        <v>1</v>
      </c>
      <c r="AH136" s="24">
        <f>ROUND(INDEX($C$2:$C$5,MATCH($E136,$B$2:$B$5,0))*$H136/SUMIFS($H:$H,$E:$E,$E136,$B:$B,$B136,AG:AG,1)*IF(B136=$B$10,0.9,1),0)</f>
        <v>250</v>
      </c>
      <c r="AI136" s="24">
        <f t="shared" ref="AI136:AM136" si="550">IF($L136&lt;=AI$8,1,0)</f>
        <v>1</v>
      </c>
      <c r="AJ136" s="24">
        <f>ROUND(INDEX($C$2:$C$5,MATCH($E136,$B$2:$B$5,0))*$F136/SUMIFS($F:$F,$E:$E,$E136,$B:$B,$B136,AI:AI,1)*IF(B136=$B$10,0.9,1),0)</f>
        <v>250</v>
      </c>
      <c r="AK136" s="24">
        <f t="shared" si="550"/>
        <v>1</v>
      </c>
      <c r="AL136" s="24">
        <f>ROUND(INDEX($C$2:$C$5,MATCH($E136,$B$2:$B$5,0))*$G136/SUMIFS($G:$G,$E:$E,$E136,$B:$B,$B136,AK:AK,1)*IF(B136=$B$10,0.9,1),0)</f>
        <v>250</v>
      </c>
      <c r="AM136" s="24">
        <f t="shared" si="550"/>
        <v>1</v>
      </c>
      <c r="AN136" s="24">
        <f>ROUND(INDEX($C$2:$C$5,MATCH($E136,$B$2:$B$5,0))*$H136/SUMIFS($H:$H,$E:$E,$E136,$B:$B,$B136,AM:AM,1)*IF(B136=$B$10,0.9,1),0)</f>
        <v>250</v>
      </c>
      <c r="AX136" s="4" t="str">
        <f t="shared" si="288"/>
        <v>1,250</v>
      </c>
      <c r="AY136" s="4" t="str">
        <f t="shared" si="289"/>
        <v>1,250</v>
      </c>
      <c r="AZ136" s="4" t="str">
        <f t="shared" si="290"/>
        <v>1,250</v>
      </c>
      <c r="BA136" s="4" t="str">
        <f t="shared" si="291"/>
        <v>1,250</v>
      </c>
      <c r="BB136" s="4" t="str">
        <f t="shared" si="292"/>
        <v>1,250</v>
      </c>
      <c r="BC136" s="4" t="str">
        <f t="shared" si="293"/>
        <v>1,250</v>
      </c>
      <c r="BD136" s="4" t="str">
        <f t="shared" si="294"/>
        <v>1,250</v>
      </c>
      <c r="BE136" s="4" t="str">
        <f t="shared" si="295"/>
        <v>1,250</v>
      </c>
      <c r="BF136" s="4" t="str">
        <f t="shared" si="296"/>
        <v>1,250</v>
      </c>
      <c r="BG136" s="4" t="str">
        <f t="shared" si="297"/>
        <v>1,250</v>
      </c>
      <c r="BH136" s="4" t="str">
        <f t="shared" si="298"/>
        <v>1,250</v>
      </c>
      <c r="BI136" s="4" t="str">
        <f t="shared" si="299"/>
        <v>1,250</v>
      </c>
      <c r="BJ136" s="4" t="str">
        <f t="shared" si="300"/>
        <v>1,250</v>
      </c>
    </row>
    <row r="137" customHeight="1" spans="1:62">
      <c r="A137" s="35">
        <v>822</v>
      </c>
      <c r="B137" s="40" t="s">
        <v>75</v>
      </c>
      <c r="C137" s="40"/>
      <c r="D137" s="46" t="s">
        <v>367</v>
      </c>
      <c r="E137" s="43">
        <v>3</v>
      </c>
      <c r="F137" s="35">
        <v>1</v>
      </c>
      <c r="G137" s="35">
        <f t="shared" si="301"/>
        <v>1</v>
      </c>
      <c r="H137" s="35">
        <v>1</v>
      </c>
      <c r="I137" s="35">
        <v>1</v>
      </c>
      <c r="J137" s="35">
        <v>1</v>
      </c>
      <c r="K137" s="35">
        <v>1</v>
      </c>
      <c r="L137" s="35">
        <v>1</v>
      </c>
      <c r="M137" s="35"/>
      <c r="N137">
        <f t="shared" si="302"/>
        <v>1500</v>
      </c>
      <c r="O137" s="35">
        <v>1</v>
      </c>
      <c r="P137" s="24">
        <f>ROUND(INDEX($C$2:$C$5,MATCH($E137,$B$2:$B$5,0))*$F137/SUMIFS($F:$F,$E:$E,$E137,$B:$B,$B137,O:O,1)*IF(B137=$B$10,0.9,1),0)</f>
        <v>250</v>
      </c>
      <c r="Q137" s="24">
        <f t="shared" ref="Q137:U137" si="551">IF($L137&lt;=Q$8,1,0)</f>
        <v>1</v>
      </c>
      <c r="R137" s="24">
        <f>ROUND(INDEX($C$2:$C$5,MATCH($E137,$B$2:$B$5,0))*$I137/SUMIFS($I:$I,$E:$E,$E137,$B:$B,$B137,Q:Q,1)*IF(B137=$B$10,0.9,1),0)</f>
        <v>250</v>
      </c>
      <c r="S137" s="24">
        <f t="shared" si="551"/>
        <v>1</v>
      </c>
      <c r="T137" s="24">
        <f>ROUND(INDEX($C$2:$C$5,MATCH($E137,$B$2:$B$5,0))*$J137/SUMIFS($J:$J,$E:$E,$E137,$B:$B,$B137,S:S,1)*IF(B137=$B$10,0.9,1),0)</f>
        <v>250</v>
      </c>
      <c r="U137" s="24">
        <f t="shared" si="551"/>
        <v>1</v>
      </c>
      <c r="V137" s="24">
        <f>ROUND(INDEX($C$2:$C$5,MATCH($E137,$B$2:$B$5,0))*$K137/SUMIFS($K:$K,$E:$E,$E137,$B:$B,$B137,U:U,1)*IF(B137=$B$10,0.9,1),0)</f>
        <v>250</v>
      </c>
      <c r="W137" s="24">
        <f t="shared" ref="W137:AA137" si="552">IF($L137&lt;=W$8,1,0)</f>
        <v>1</v>
      </c>
      <c r="X137" s="24">
        <f>ROUND(INDEX($C$2:$C$5,MATCH($E137,$B$2:$B$5,0))*$F137/SUMIFS($F:$F,$E:$E,$E137,$B:$B,$B137,W:W,1)*IF(B137=$B$10,0.9,1),0)</f>
        <v>250</v>
      </c>
      <c r="Y137" s="24">
        <f t="shared" si="552"/>
        <v>1</v>
      </c>
      <c r="Z137" s="24">
        <f>ROUND(INDEX($C$2:$C$5,MATCH($E137,$B$2:$B$5,0))*$G137/SUMIFS($G:$G,$E:$E,$E137,$B:$B,$B137,Y:Y,1)*IF(B137=$B$10,0.9,1),0)</f>
        <v>250</v>
      </c>
      <c r="AA137" s="24">
        <f t="shared" si="552"/>
        <v>1</v>
      </c>
      <c r="AB137" s="24">
        <f>ROUND(INDEX($C$2:$C$5,MATCH($E137,$B$2:$B$5,0))*$H137/SUMIFS($H:$H,$E:$E,$E137,$B:$B,$B137,AA:AA,1)*IF(B137=$B$10,0.9,1),0)</f>
        <v>250</v>
      </c>
      <c r="AC137" s="24">
        <f t="shared" ref="AC137:AG137" si="553">IF($L137&lt;=AC$8,1,0)</f>
        <v>1</v>
      </c>
      <c r="AD137" s="24">
        <f>ROUND(INDEX($C$2:$C$5,MATCH($E137,$B$2:$B$5,0))*$F137/SUMIFS($F:$F,$E:$E,$E137,$B:$B,$B137,AC:AC,1)*IF(B137=$B$10,0.9,1),0)</f>
        <v>250</v>
      </c>
      <c r="AE137" s="24">
        <f t="shared" si="553"/>
        <v>1</v>
      </c>
      <c r="AF137" s="24">
        <f>ROUND(INDEX($C$2:$C$5,MATCH($E137,$B$2:$B$5,0))*$G137/SUMIFS($G:$G,$E:$E,$E137,$B:$B,$B137,AE:AE,1)*IF(B137=$B$10,0.9,1),0)</f>
        <v>250</v>
      </c>
      <c r="AG137" s="24">
        <f t="shared" si="553"/>
        <v>1</v>
      </c>
      <c r="AH137" s="24">
        <f>ROUND(INDEX($C$2:$C$5,MATCH($E137,$B$2:$B$5,0))*$H137/SUMIFS($H:$H,$E:$E,$E137,$B:$B,$B137,AG:AG,1)*IF(B137=$B$10,0.9,1),0)</f>
        <v>250</v>
      </c>
      <c r="AI137" s="24">
        <f t="shared" ref="AI137:AM137" si="554">IF($L137&lt;=AI$8,1,0)</f>
        <v>1</v>
      </c>
      <c r="AJ137" s="24">
        <f>ROUND(INDEX($C$2:$C$5,MATCH($E137,$B$2:$B$5,0))*$F137/SUMIFS($F:$F,$E:$E,$E137,$B:$B,$B137,AI:AI,1)*IF(B137=$B$10,0.9,1),0)</f>
        <v>250</v>
      </c>
      <c r="AK137" s="24">
        <f t="shared" si="554"/>
        <v>1</v>
      </c>
      <c r="AL137" s="24">
        <f>ROUND(INDEX($C$2:$C$5,MATCH($E137,$B$2:$B$5,0))*$G137/SUMIFS($G:$G,$E:$E,$E137,$B:$B,$B137,AK:AK,1)*IF(B137=$B$10,0.9,1),0)</f>
        <v>250</v>
      </c>
      <c r="AM137" s="24">
        <f t="shared" si="554"/>
        <v>1</v>
      </c>
      <c r="AN137" s="24">
        <f>ROUND(INDEX($C$2:$C$5,MATCH($E137,$B$2:$B$5,0))*$H137/SUMIFS($H:$H,$E:$E,$E137,$B:$B,$B137,AM:AM,1)*IF(B137=$B$10,0.9,1),0)</f>
        <v>250</v>
      </c>
      <c r="AX137" s="4" t="str">
        <f t="shared" si="288"/>
        <v>1,250</v>
      </c>
      <c r="AY137" s="4" t="str">
        <f t="shared" si="289"/>
        <v>1,250</v>
      </c>
      <c r="AZ137" s="4" t="str">
        <f t="shared" si="290"/>
        <v>1,250</v>
      </c>
      <c r="BA137" s="4" t="str">
        <f t="shared" si="291"/>
        <v>1,250</v>
      </c>
      <c r="BB137" s="4" t="str">
        <f t="shared" si="292"/>
        <v>1,250</v>
      </c>
      <c r="BC137" s="4" t="str">
        <f t="shared" si="293"/>
        <v>1,250</v>
      </c>
      <c r="BD137" s="4" t="str">
        <f t="shared" si="294"/>
        <v>1,250</v>
      </c>
      <c r="BE137" s="4" t="str">
        <f t="shared" si="295"/>
        <v>1,250</v>
      </c>
      <c r="BF137" s="4" t="str">
        <f t="shared" si="296"/>
        <v>1,250</v>
      </c>
      <c r="BG137" s="4" t="str">
        <f t="shared" si="297"/>
        <v>1,250</v>
      </c>
      <c r="BH137" s="4" t="str">
        <f t="shared" si="298"/>
        <v>1,250</v>
      </c>
      <c r="BI137" s="4" t="str">
        <f t="shared" si="299"/>
        <v>1,250</v>
      </c>
      <c r="BJ137" s="4" t="str">
        <f t="shared" si="300"/>
        <v>1,250</v>
      </c>
    </row>
    <row r="138" customHeight="1" spans="1:62">
      <c r="A138" s="35">
        <v>823</v>
      </c>
      <c r="B138" s="40" t="s">
        <v>75</v>
      </c>
      <c r="C138" s="40"/>
      <c r="D138" s="46" t="s">
        <v>368</v>
      </c>
      <c r="E138" s="45">
        <v>3</v>
      </c>
      <c r="F138" s="35">
        <v>1</v>
      </c>
      <c r="G138" s="35">
        <f t="shared" si="301"/>
        <v>1</v>
      </c>
      <c r="H138" s="35">
        <v>1</v>
      </c>
      <c r="I138" s="35">
        <v>1</v>
      </c>
      <c r="J138" s="35">
        <v>1</v>
      </c>
      <c r="K138" s="35">
        <v>1</v>
      </c>
      <c r="L138" s="35">
        <v>1</v>
      </c>
      <c r="M138" s="35"/>
      <c r="N138">
        <f t="shared" si="302"/>
        <v>1500</v>
      </c>
      <c r="O138" s="35">
        <v>1</v>
      </c>
      <c r="P138" s="24">
        <f>ROUND(INDEX($C$2:$C$5,MATCH($E138,$B$2:$B$5,0))*$F138/SUMIFS($F:$F,$E:$E,$E138,$B:$B,$B138,O:O,1)*IF(B138=$B$10,0.9,1),0)</f>
        <v>250</v>
      </c>
      <c r="Q138" s="24">
        <f t="shared" ref="Q138:U138" si="555">IF($L138&lt;=Q$8,1,0)</f>
        <v>1</v>
      </c>
      <c r="R138" s="24">
        <f>ROUND(INDEX($C$2:$C$5,MATCH($E138,$B$2:$B$5,0))*$I138/SUMIFS($I:$I,$E:$E,$E138,$B:$B,$B138,Q:Q,1)*IF(B138=$B$10,0.9,1),0)</f>
        <v>250</v>
      </c>
      <c r="S138" s="24">
        <f t="shared" si="555"/>
        <v>1</v>
      </c>
      <c r="T138" s="24">
        <f>ROUND(INDEX($C$2:$C$5,MATCH($E138,$B$2:$B$5,0))*$J138/SUMIFS($J:$J,$E:$E,$E138,$B:$B,$B138,S:S,1)*IF(B138=$B$10,0.9,1),0)</f>
        <v>250</v>
      </c>
      <c r="U138" s="24">
        <f t="shared" si="555"/>
        <v>1</v>
      </c>
      <c r="V138" s="24">
        <f>ROUND(INDEX($C$2:$C$5,MATCH($E138,$B$2:$B$5,0))*$K138/SUMIFS($K:$K,$E:$E,$E138,$B:$B,$B138,U:U,1)*IF(B138=$B$10,0.9,1),0)</f>
        <v>250</v>
      </c>
      <c r="W138" s="24">
        <f t="shared" ref="W138:AA138" si="556">IF($L138&lt;=W$8,1,0)</f>
        <v>1</v>
      </c>
      <c r="X138" s="24">
        <f>ROUND(INDEX($C$2:$C$5,MATCH($E138,$B$2:$B$5,0))*$F138/SUMIFS($F:$F,$E:$E,$E138,$B:$B,$B138,W:W,1)*IF(B138=$B$10,0.9,1),0)</f>
        <v>250</v>
      </c>
      <c r="Y138" s="24">
        <f t="shared" si="556"/>
        <v>1</v>
      </c>
      <c r="Z138" s="24">
        <f>ROUND(INDEX($C$2:$C$5,MATCH($E138,$B$2:$B$5,0))*$G138/SUMIFS($G:$G,$E:$E,$E138,$B:$B,$B138,Y:Y,1)*IF(B138=$B$10,0.9,1),0)</f>
        <v>250</v>
      </c>
      <c r="AA138" s="24">
        <f t="shared" si="556"/>
        <v>1</v>
      </c>
      <c r="AB138" s="24">
        <f>ROUND(INDEX($C$2:$C$5,MATCH($E138,$B$2:$B$5,0))*$H138/SUMIFS($H:$H,$E:$E,$E138,$B:$B,$B138,AA:AA,1)*IF(B138=$B$10,0.9,1),0)</f>
        <v>250</v>
      </c>
      <c r="AC138" s="24">
        <f t="shared" ref="AC138:AG138" si="557">IF($L138&lt;=AC$8,1,0)</f>
        <v>1</v>
      </c>
      <c r="AD138" s="24">
        <f>ROUND(INDEX($C$2:$C$5,MATCH($E138,$B$2:$B$5,0))*$F138/SUMIFS($F:$F,$E:$E,$E138,$B:$B,$B138,AC:AC,1)*IF(B138=$B$10,0.9,1),0)</f>
        <v>250</v>
      </c>
      <c r="AE138" s="24">
        <f t="shared" si="557"/>
        <v>1</v>
      </c>
      <c r="AF138" s="24">
        <f>ROUND(INDEX($C$2:$C$5,MATCH($E138,$B$2:$B$5,0))*$G138/SUMIFS($G:$G,$E:$E,$E138,$B:$B,$B138,AE:AE,1)*IF(B138=$B$10,0.9,1),0)</f>
        <v>250</v>
      </c>
      <c r="AG138" s="24">
        <f t="shared" si="557"/>
        <v>1</v>
      </c>
      <c r="AH138" s="24">
        <f>ROUND(INDEX($C$2:$C$5,MATCH($E138,$B$2:$B$5,0))*$H138/SUMIFS($H:$H,$E:$E,$E138,$B:$B,$B138,AG:AG,1)*IF(B138=$B$10,0.9,1),0)</f>
        <v>250</v>
      </c>
      <c r="AI138" s="24">
        <f t="shared" ref="AI138:AM138" si="558">IF($L138&lt;=AI$8,1,0)</f>
        <v>1</v>
      </c>
      <c r="AJ138" s="24">
        <f>ROUND(INDEX($C$2:$C$5,MATCH($E138,$B$2:$B$5,0))*$F138/SUMIFS($F:$F,$E:$E,$E138,$B:$B,$B138,AI:AI,1)*IF(B138=$B$10,0.9,1),0)</f>
        <v>250</v>
      </c>
      <c r="AK138" s="24">
        <f t="shared" si="558"/>
        <v>1</v>
      </c>
      <c r="AL138" s="24">
        <f>ROUND(INDEX($C$2:$C$5,MATCH($E138,$B$2:$B$5,0))*$G138/SUMIFS($G:$G,$E:$E,$E138,$B:$B,$B138,AK:AK,1)*IF(B138=$B$10,0.9,1),0)</f>
        <v>250</v>
      </c>
      <c r="AM138" s="24">
        <f t="shared" si="558"/>
        <v>1</v>
      </c>
      <c r="AN138" s="24">
        <f>ROUND(INDEX($C$2:$C$5,MATCH($E138,$B$2:$B$5,0))*$H138/SUMIFS($H:$H,$E:$E,$E138,$B:$B,$B138,AM:AM,1)*IF(B138=$B$10,0.9,1),0)</f>
        <v>250</v>
      </c>
      <c r="AX138" s="4" t="str">
        <f t="shared" ref="AX138:AX201" si="559">_xlfn.TEXTJOIN(",",TRUE,O138:P138)</f>
        <v>1,250</v>
      </c>
      <c r="AY138" s="4" t="str">
        <f t="shared" ref="AY138:AY201" si="560">_xlfn.TEXTJOIN(",",TRUE,Q138:R138)</f>
        <v>1,250</v>
      </c>
      <c r="AZ138" s="4" t="str">
        <f t="shared" ref="AZ138:AZ201" si="561">_xlfn.TEXTJOIN(",",TRUE,S138:T138)</f>
        <v>1,250</v>
      </c>
      <c r="BA138" s="4" t="str">
        <f t="shared" ref="BA138:BA201" si="562">_xlfn.TEXTJOIN(",",TRUE,U138:V138)</f>
        <v>1,250</v>
      </c>
      <c r="BB138" s="4" t="str">
        <f t="shared" ref="BB138:BB201" si="563">_xlfn.TEXTJOIN(",",TRUE,W138:X138)</f>
        <v>1,250</v>
      </c>
      <c r="BC138" s="4" t="str">
        <f t="shared" ref="BC138:BC201" si="564">_xlfn.TEXTJOIN(",",TRUE,Y138:Z138)</f>
        <v>1,250</v>
      </c>
      <c r="BD138" s="4" t="str">
        <f t="shared" ref="BD138:BD201" si="565">_xlfn.TEXTJOIN(",",TRUE,AA138:AB138)</f>
        <v>1,250</v>
      </c>
      <c r="BE138" s="4" t="str">
        <f t="shared" ref="BE138:BE201" si="566">_xlfn.TEXTJOIN(",",TRUE,AC138:AD138)</f>
        <v>1,250</v>
      </c>
      <c r="BF138" s="4" t="str">
        <f t="shared" ref="BF138:BF201" si="567">_xlfn.TEXTJOIN(",",TRUE,AE138:AF138)</f>
        <v>1,250</v>
      </c>
      <c r="BG138" s="4" t="str">
        <f t="shared" ref="BG138:BG201" si="568">_xlfn.TEXTJOIN(",",TRUE,AG138:AH138)</f>
        <v>1,250</v>
      </c>
      <c r="BH138" s="4" t="str">
        <f t="shared" ref="BH138:BH201" si="569">_xlfn.TEXTJOIN(",",TRUE,AI138:AJ138)</f>
        <v>1,250</v>
      </c>
      <c r="BI138" s="4" t="str">
        <f t="shared" ref="BI138:BI201" si="570">_xlfn.TEXTJOIN(",",TRUE,AK138:AL138)</f>
        <v>1,250</v>
      </c>
      <c r="BJ138" s="4" t="str">
        <f t="shared" ref="BJ138:BJ201" si="571">_xlfn.TEXTJOIN(",",TRUE,AM138:AN138)</f>
        <v>1,250</v>
      </c>
    </row>
    <row r="139" customHeight="1" spans="1:62">
      <c r="A139" s="35">
        <v>824</v>
      </c>
      <c r="B139" s="40" t="s">
        <v>75</v>
      </c>
      <c r="C139" s="40"/>
      <c r="D139" s="46" t="s">
        <v>369</v>
      </c>
      <c r="E139" s="45">
        <v>3</v>
      </c>
      <c r="F139" s="35">
        <v>1</v>
      </c>
      <c r="G139" s="35">
        <f t="shared" ref="G139:G202" si="572">IF(F139&lt;1,F139*$G$7,1)</f>
        <v>1</v>
      </c>
      <c r="H139" s="35">
        <v>1</v>
      </c>
      <c r="I139" s="35">
        <v>1</v>
      </c>
      <c r="J139" s="35">
        <v>1</v>
      </c>
      <c r="K139" s="35">
        <v>1</v>
      </c>
      <c r="L139" s="35">
        <v>1</v>
      </c>
      <c r="M139" s="35"/>
      <c r="N139">
        <f t="shared" ref="N139:N202" si="573">INDEX($C$2:$C$5,MATCH(E139,$B$2:$B$5,0))</f>
        <v>1500</v>
      </c>
      <c r="O139" s="35">
        <v>1</v>
      </c>
      <c r="P139" s="24">
        <f>ROUND(INDEX($C$2:$C$5,MATCH($E139,$B$2:$B$5,0))*$F139/SUMIFS($F:$F,$E:$E,$E139,$B:$B,$B139,O:O,1)*IF(B139=$B$10,0.9,1),0)</f>
        <v>250</v>
      </c>
      <c r="Q139" s="24">
        <f t="shared" ref="Q139:U139" si="574">IF($L139&lt;=Q$8,1,0)</f>
        <v>1</v>
      </c>
      <c r="R139" s="24">
        <f>ROUND(INDEX($C$2:$C$5,MATCH($E139,$B$2:$B$5,0))*$I139/SUMIFS($I:$I,$E:$E,$E139,$B:$B,$B139,Q:Q,1)*IF(B139=$B$10,0.9,1),0)</f>
        <v>250</v>
      </c>
      <c r="S139" s="24">
        <f t="shared" si="574"/>
        <v>1</v>
      </c>
      <c r="T139" s="24">
        <f>ROUND(INDEX($C$2:$C$5,MATCH($E139,$B$2:$B$5,0))*$J139/SUMIFS($J:$J,$E:$E,$E139,$B:$B,$B139,S:S,1)*IF(B139=$B$10,0.9,1),0)</f>
        <v>250</v>
      </c>
      <c r="U139" s="24">
        <f t="shared" si="574"/>
        <v>1</v>
      </c>
      <c r="V139" s="24">
        <f>ROUND(INDEX($C$2:$C$5,MATCH($E139,$B$2:$B$5,0))*$K139/SUMIFS($K:$K,$E:$E,$E139,$B:$B,$B139,U:U,1)*IF(B139=$B$10,0.9,1),0)</f>
        <v>250</v>
      </c>
      <c r="W139" s="24">
        <f t="shared" ref="W139:AA139" si="575">IF($L139&lt;=W$8,1,0)</f>
        <v>1</v>
      </c>
      <c r="X139" s="24">
        <f>ROUND(INDEX($C$2:$C$5,MATCH($E139,$B$2:$B$5,0))*$F139/SUMIFS($F:$F,$E:$E,$E139,$B:$B,$B139,W:W,1)*IF(B139=$B$10,0.9,1),0)</f>
        <v>250</v>
      </c>
      <c r="Y139" s="24">
        <f t="shared" si="575"/>
        <v>1</v>
      </c>
      <c r="Z139" s="24">
        <f>ROUND(INDEX($C$2:$C$5,MATCH($E139,$B$2:$B$5,0))*$G139/SUMIFS($G:$G,$E:$E,$E139,$B:$B,$B139,Y:Y,1)*IF(B139=$B$10,0.9,1),0)</f>
        <v>250</v>
      </c>
      <c r="AA139" s="24">
        <f t="shared" si="575"/>
        <v>1</v>
      </c>
      <c r="AB139" s="24">
        <f>ROUND(INDEX($C$2:$C$5,MATCH($E139,$B$2:$B$5,0))*$H139/SUMIFS($H:$H,$E:$E,$E139,$B:$B,$B139,AA:AA,1)*IF(B139=$B$10,0.9,1),0)</f>
        <v>250</v>
      </c>
      <c r="AC139" s="24">
        <f t="shared" ref="AC139:AG139" si="576">IF($L139&lt;=AC$8,1,0)</f>
        <v>1</v>
      </c>
      <c r="AD139" s="24">
        <f>ROUND(INDEX($C$2:$C$5,MATCH($E139,$B$2:$B$5,0))*$F139/SUMIFS($F:$F,$E:$E,$E139,$B:$B,$B139,AC:AC,1)*IF(B139=$B$10,0.9,1),0)</f>
        <v>250</v>
      </c>
      <c r="AE139" s="24">
        <f t="shared" si="576"/>
        <v>1</v>
      </c>
      <c r="AF139" s="24">
        <f>ROUND(INDEX($C$2:$C$5,MATCH($E139,$B$2:$B$5,0))*$G139/SUMIFS($G:$G,$E:$E,$E139,$B:$B,$B139,AE:AE,1)*IF(B139=$B$10,0.9,1),0)</f>
        <v>250</v>
      </c>
      <c r="AG139" s="24">
        <f t="shared" si="576"/>
        <v>1</v>
      </c>
      <c r="AH139" s="24">
        <f>ROUND(INDEX($C$2:$C$5,MATCH($E139,$B$2:$B$5,0))*$H139/SUMIFS($H:$H,$E:$E,$E139,$B:$B,$B139,AG:AG,1)*IF(B139=$B$10,0.9,1),0)</f>
        <v>250</v>
      </c>
      <c r="AI139" s="24">
        <f t="shared" ref="AI139:AM139" si="577">IF($L139&lt;=AI$8,1,0)</f>
        <v>1</v>
      </c>
      <c r="AJ139" s="24">
        <f>ROUND(INDEX($C$2:$C$5,MATCH($E139,$B$2:$B$5,0))*$F139/SUMIFS($F:$F,$E:$E,$E139,$B:$B,$B139,AI:AI,1)*IF(B139=$B$10,0.9,1),0)</f>
        <v>250</v>
      </c>
      <c r="AK139" s="24">
        <f t="shared" si="577"/>
        <v>1</v>
      </c>
      <c r="AL139" s="24">
        <f>ROUND(INDEX($C$2:$C$5,MATCH($E139,$B$2:$B$5,0))*$G139/SUMIFS($G:$G,$E:$E,$E139,$B:$B,$B139,AK:AK,1)*IF(B139=$B$10,0.9,1),0)</f>
        <v>250</v>
      </c>
      <c r="AM139" s="24">
        <f t="shared" si="577"/>
        <v>1</v>
      </c>
      <c r="AN139" s="24">
        <f>ROUND(INDEX($C$2:$C$5,MATCH($E139,$B$2:$B$5,0))*$H139/SUMIFS($H:$H,$E:$E,$E139,$B:$B,$B139,AM:AM,1)*IF(B139=$B$10,0.9,1),0)</f>
        <v>250</v>
      </c>
      <c r="AX139" s="4" t="str">
        <f t="shared" si="559"/>
        <v>1,250</v>
      </c>
      <c r="AY139" s="4" t="str">
        <f t="shared" si="560"/>
        <v>1,250</v>
      </c>
      <c r="AZ139" s="4" t="str">
        <f t="shared" si="561"/>
        <v>1,250</v>
      </c>
      <c r="BA139" s="4" t="str">
        <f t="shared" si="562"/>
        <v>1,250</v>
      </c>
      <c r="BB139" s="4" t="str">
        <f t="shared" si="563"/>
        <v>1,250</v>
      </c>
      <c r="BC139" s="4" t="str">
        <f t="shared" si="564"/>
        <v>1,250</v>
      </c>
      <c r="BD139" s="4" t="str">
        <f t="shared" si="565"/>
        <v>1,250</v>
      </c>
      <c r="BE139" s="4" t="str">
        <f t="shared" si="566"/>
        <v>1,250</v>
      </c>
      <c r="BF139" s="4" t="str">
        <f t="shared" si="567"/>
        <v>1,250</v>
      </c>
      <c r="BG139" s="4" t="str">
        <f t="shared" si="568"/>
        <v>1,250</v>
      </c>
      <c r="BH139" s="4" t="str">
        <f t="shared" si="569"/>
        <v>1,250</v>
      </c>
      <c r="BI139" s="4" t="str">
        <f t="shared" si="570"/>
        <v>1,250</v>
      </c>
      <c r="BJ139" s="4" t="str">
        <f t="shared" si="571"/>
        <v>1,250</v>
      </c>
    </row>
    <row r="140" customHeight="1" spans="1:62">
      <c r="A140" s="35">
        <v>831</v>
      </c>
      <c r="B140" s="40" t="s">
        <v>75</v>
      </c>
      <c r="C140" s="40" t="s">
        <v>218</v>
      </c>
      <c r="D140" s="44" t="s">
        <v>397</v>
      </c>
      <c r="E140" s="43">
        <v>2</v>
      </c>
      <c r="F140" s="35">
        <v>1</v>
      </c>
      <c r="G140" s="35">
        <f t="shared" si="572"/>
        <v>1</v>
      </c>
      <c r="H140" s="35">
        <v>1</v>
      </c>
      <c r="I140" s="35">
        <v>1</v>
      </c>
      <c r="J140" s="35">
        <v>1</v>
      </c>
      <c r="K140" s="35">
        <v>1</v>
      </c>
      <c r="L140" s="35">
        <v>2</v>
      </c>
      <c r="M140" s="35"/>
      <c r="N140">
        <f t="shared" si="573"/>
        <v>4500</v>
      </c>
      <c r="O140" s="35">
        <v>1</v>
      </c>
      <c r="P140" s="24">
        <f>ROUND(INDEX($C$2:$C$5,MATCH($E140,$B$2:$B$5,0))*$F140/SUMIFS($F:$F,$E:$E,$E140,$B:$B,$B140,O:O,1)*IF(B140=$B$10,0.9,1),0)</f>
        <v>1125</v>
      </c>
      <c r="Q140" s="24">
        <f t="shared" ref="Q140:U140" si="578">IF($L140&lt;=Q$8,1,0)</f>
        <v>0</v>
      </c>
      <c r="R140" s="24">
        <f>ROUND(INDEX($C$2:$C$5,MATCH($E140,$B$2:$B$5,0))*$I140/SUMIFS($I:$I,$E:$E,$E140,$B:$B,$B140,Q:Q,1)*IF(B140=$B$10,0.9,1),0)</f>
        <v>1500</v>
      </c>
      <c r="S140" s="24">
        <f t="shared" si="578"/>
        <v>0</v>
      </c>
      <c r="T140" s="24">
        <f>ROUND(INDEX($C$2:$C$5,MATCH($E140,$B$2:$B$5,0))*$J140/SUMIFS($J:$J,$E:$E,$E140,$B:$B,$B140,S:S,1)*IF(B140=$B$10,0.9,1),0)</f>
        <v>1500</v>
      </c>
      <c r="U140" s="24">
        <f t="shared" si="578"/>
        <v>0</v>
      </c>
      <c r="V140" s="24">
        <f>ROUND(INDEX($C$2:$C$5,MATCH($E140,$B$2:$B$5,0))*$K140/SUMIFS($K:$K,$E:$E,$E140,$B:$B,$B140,U:U,1)*IF(B140=$B$10,0.9,1),0)</f>
        <v>1500</v>
      </c>
      <c r="W140" s="24">
        <f t="shared" ref="W140:AA140" si="579">IF($L140&lt;=W$8,1,0)</f>
        <v>1</v>
      </c>
      <c r="X140" s="24">
        <f>ROUND(INDEX($C$2:$C$5,MATCH($E140,$B$2:$B$5,0))*$F140/SUMIFS($F:$F,$E:$E,$E140,$B:$B,$B140,W:W,1)*IF(B140=$B$10,0.9,1),0)</f>
        <v>1125</v>
      </c>
      <c r="Y140" s="24">
        <f t="shared" si="579"/>
        <v>1</v>
      </c>
      <c r="Z140" s="24">
        <f>ROUND(INDEX($C$2:$C$5,MATCH($E140,$B$2:$B$5,0))*$G140/SUMIFS($G:$G,$E:$E,$E140,$B:$B,$B140,Y:Y,1)*IF(B140=$B$10,0.9,1),0)</f>
        <v>1125</v>
      </c>
      <c r="AA140" s="24">
        <f t="shared" si="579"/>
        <v>1</v>
      </c>
      <c r="AB140" s="24">
        <f>ROUND(INDEX($C$2:$C$5,MATCH($E140,$B$2:$B$5,0))*$H140/SUMIFS($H:$H,$E:$E,$E140,$B:$B,$B140,AA:AA,1)*IF(B140=$B$10,0.9,1),0)</f>
        <v>1125</v>
      </c>
      <c r="AC140" s="24">
        <f t="shared" ref="AC140:AG140" si="580">IF($L140&lt;=AC$8,1,0)</f>
        <v>1</v>
      </c>
      <c r="AD140" s="24">
        <f>ROUND(INDEX($C$2:$C$5,MATCH($E140,$B$2:$B$5,0))*$F140/SUMIFS($F:$F,$E:$E,$E140,$B:$B,$B140,AC:AC,1)*IF(B140=$B$10,0.9,1),0)</f>
        <v>1125</v>
      </c>
      <c r="AE140" s="24">
        <f t="shared" si="580"/>
        <v>1</v>
      </c>
      <c r="AF140" s="24">
        <f>ROUND(INDEX($C$2:$C$5,MATCH($E140,$B$2:$B$5,0))*$G140/SUMIFS($G:$G,$E:$E,$E140,$B:$B,$B140,AE:AE,1)*IF(B140=$B$10,0.9,1),0)</f>
        <v>1125</v>
      </c>
      <c r="AG140" s="24">
        <f t="shared" si="580"/>
        <v>1</v>
      </c>
      <c r="AH140" s="24">
        <f>ROUND(INDEX($C$2:$C$5,MATCH($E140,$B$2:$B$5,0))*$H140/SUMIFS($H:$H,$E:$E,$E140,$B:$B,$B140,AG:AG,1)*IF(B140=$B$10,0.9,1),0)</f>
        <v>1125</v>
      </c>
      <c r="AI140" s="24">
        <f t="shared" ref="AI140:AM140" si="581">IF($L140&lt;=AI$8,1,0)</f>
        <v>1</v>
      </c>
      <c r="AJ140" s="24">
        <f>ROUND(INDEX($C$2:$C$5,MATCH($E140,$B$2:$B$5,0))*$F140/SUMIFS($F:$F,$E:$E,$E140,$B:$B,$B140,AI:AI,1)*IF(B140=$B$10,0.9,1),0)</f>
        <v>1125</v>
      </c>
      <c r="AK140" s="24">
        <f t="shared" si="581"/>
        <v>1</v>
      </c>
      <c r="AL140" s="24">
        <f>ROUND(INDEX($C$2:$C$5,MATCH($E140,$B$2:$B$5,0))*$G140/SUMIFS($G:$G,$E:$E,$E140,$B:$B,$B140,AK:AK,1)*IF(B140=$B$10,0.9,1),0)</f>
        <v>1125</v>
      </c>
      <c r="AM140" s="24">
        <f t="shared" si="581"/>
        <v>1</v>
      </c>
      <c r="AN140" s="24">
        <f>ROUND(INDEX($C$2:$C$5,MATCH($E140,$B$2:$B$5,0))*$H140/SUMIFS($H:$H,$E:$E,$E140,$B:$B,$B140,AM:AM,1)*IF(B140=$B$10,0.9,1),0)</f>
        <v>1125</v>
      </c>
      <c r="AX140" s="4" t="str">
        <f t="shared" si="559"/>
        <v>1,1125</v>
      </c>
      <c r="AY140" s="4" t="str">
        <f t="shared" si="560"/>
        <v>0,1500</v>
      </c>
      <c r="AZ140" s="4" t="str">
        <f t="shared" si="561"/>
        <v>0,1500</v>
      </c>
      <c r="BA140" s="4" t="str">
        <f t="shared" si="562"/>
        <v>0,1500</v>
      </c>
      <c r="BB140" s="4" t="str">
        <f t="shared" si="563"/>
        <v>1,1125</v>
      </c>
      <c r="BC140" s="4" t="str">
        <f t="shared" si="564"/>
        <v>1,1125</v>
      </c>
      <c r="BD140" s="4" t="str">
        <f t="shared" si="565"/>
        <v>1,1125</v>
      </c>
      <c r="BE140" s="4" t="str">
        <f t="shared" si="566"/>
        <v>1,1125</v>
      </c>
      <c r="BF140" s="4" t="str">
        <f t="shared" si="567"/>
        <v>1,1125</v>
      </c>
      <c r="BG140" s="4" t="str">
        <f t="shared" si="568"/>
        <v>1,1125</v>
      </c>
      <c r="BH140" s="4" t="str">
        <f t="shared" si="569"/>
        <v>1,1125</v>
      </c>
      <c r="BI140" s="4" t="str">
        <f t="shared" si="570"/>
        <v>1,1125</v>
      </c>
      <c r="BJ140" s="4" t="str">
        <f t="shared" si="571"/>
        <v>1,1125</v>
      </c>
    </row>
    <row r="141" customHeight="1" spans="1:62">
      <c r="A141" s="35">
        <v>832</v>
      </c>
      <c r="B141" s="40" t="s">
        <v>75</v>
      </c>
      <c r="C141" s="40" t="s">
        <v>218</v>
      </c>
      <c r="D141" s="44" t="s">
        <v>376</v>
      </c>
      <c r="E141" s="45">
        <v>2</v>
      </c>
      <c r="F141" s="35">
        <v>1</v>
      </c>
      <c r="G141" s="35">
        <f t="shared" si="572"/>
        <v>1</v>
      </c>
      <c r="H141" s="35">
        <v>1</v>
      </c>
      <c r="I141" s="35">
        <v>1</v>
      </c>
      <c r="J141" s="35">
        <v>1</v>
      </c>
      <c r="K141" s="35">
        <v>1</v>
      </c>
      <c r="L141" s="35">
        <v>1</v>
      </c>
      <c r="M141" s="35" t="s">
        <v>136</v>
      </c>
      <c r="N141">
        <f t="shared" si="573"/>
        <v>4500</v>
      </c>
      <c r="O141" s="35">
        <v>1</v>
      </c>
      <c r="P141" s="24">
        <f>ROUND(INDEX($C$2:$C$5,MATCH($E141,$B$2:$B$5,0))*$F141/SUMIFS($F:$F,$E:$E,$E141,$B:$B,$B141,O:O,1)*IF(B141=$B$10,0.9,1),0)</f>
        <v>1125</v>
      </c>
      <c r="Q141" s="24">
        <f t="shared" ref="Q141:U141" si="582">IF($L141&lt;=Q$8,1,0)</f>
        <v>1</v>
      </c>
      <c r="R141" s="24">
        <f>ROUND(INDEX($C$2:$C$5,MATCH($E141,$B$2:$B$5,0))*$I141/SUMIFS($I:$I,$E:$E,$E141,$B:$B,$B141,Q:Q,1)*IF(B141=$B$10,0.9,1),0)</f>
        <v>1500</v>
      </c>
      <c r="S141" s="24">
        <f t="shared" si="582"/>
        <v>1</v>
      </c>
      <c r="T141" s="24">
        <f>ROUND(INDEX($C$2:$C$5,MATCH($E141,$B$2:$B$5,0))*$J141/SUMIFS($J:$J,$E:$E,$E141,$B:$B,$B141,S:S,1)*IF(B141=$B$10,0.9,1),0)</f>
        <v>1500</v>
      </c>
      <c r="U141" s="24">
        <f t="shared" si="582"/>
        <v>1</v>
      </c>
      <c r="V141" s="24">
        <f>ROUND(INDEX($C$2:$C$5,MATCH($E141,$B$2:$B$5,0))*$K141/SUMIFS($K:$K,$E:$E,$E141,$B:$B,$B141,U:U,1)*IF(B141=$B$10,0.9,1),0)</f>
        <v>1500</v>
      </c>
      <c r="W141" s="24">
        <f t="shared" ref="W141:AA141" si="583">IF($L141&lt;=W$8,1,0)</f>
        <v>1</v>
      </c>
      <c r="X141" s="24">
        <f>ROUND(INDEX($C$2:$C$5,MATCH($E141,$B$2:$B$5,0))*$F141/SUMIFS($F:$F,$E:$E,$E141,$B:$B,$B141,W:W,1)*IF(B141=$B$10,0.9,1),0)</f>
        <v>1125</v>
      </c>
      <c r="Y141" s="24">
        <f t="shared" si="583"/>
        <v>1</v>
      </c>
      <c r="Z141" s="24">
        <f>ROUND(INDEX($C$2:$C$5,MATCH($E141,$B$2:$B$5,0))*$G141/SUMIFS($G:$G,$E:$E,$E141,$B:$B,$B141,Y:Y,1)*IF(B141=$B$10,0.9,1),0)</f>
        <v>1125</v>
      </c>
      <c r="AA141" s="24">
        <f t="shared" si="583"/>
        <v>1</v>
      </c>
      <c r="AB141" s="24">
        <f>ROUND(INDEX($C$2:$C$5,MATCH($E141,$B$2:$B$5,0))*$H141/SUMIFS($H:$H,$E:$E,$E141,$B:$B,$B141,AA:AA,1)*IF(B141=$B$10,0.9,1),0)</f>
        <v>1125</v>
      </c>
      <c r="AC141" s="24">
        <f t="shared" ref="AC141:AG141" si="584">IF($L141&lt;=AC$8,1,0)</f>
        <v>1</v>
      </c>
      <c r="AD141" s="24">
        <f>ROUND(INDEX($C$2:$C$5,MATCH($E141,$B$2:$B$5,0))*$F141/SUMIFS($F:$F,$E:$E,$E141,$B:$B,$B141,AC:AC,1)*IF(B141=$B$10,0.9,1),0)</f>
        <v>1125</v>
      </c>
      <c r="AE141" s="24">
        <f t="shared" si="584"/>
        <v>1</v>
      </c>
      <c r="AF141" s="24">
        <f>ROUND(INDEX($C$2:$C$5,MATCH($E141,$B$2:$B$5,0))*$G141/SUMIFS($G:$G,$E:$E,$E141,$B:$B,$B141,AE:AE,1)*IF(B141=$B$10,0.9,1),0)</f>
        <v>1125</v>
      </c>
      <c r="AG141" s="24">
        <f t="shared" si="584"/>
        <v>1</v>
      </c>
      <c r="AH141" s="24">
        <f>ROUND(INDEX($C$2:$C$5,MATCH($E141,$B$2:$B$5,0))*$H141/SUMIFS($H:$H,$E:$E,$E141,$B:$B,$B141,AG:AG,1)*IF(B141=$B$10,0.9,1),0)</f>
        <v>1125</v>
      </c>
      <c r="AI141" s="24">
        <f t="shared" ref="AI141:AM141" si="585">IF($L141&lt;=AI$8,1,0)</f>
        <v>1</v>
      </c>
      <c r="AJ141" s="24">
        <f>ROUND(INDEX($C$2:$C$5,MATCH($E141,$B$2:$B$5,0))*$F141/SUMIFS($F:$F,$E:$E,$E141,$B:$B,$B141,AI:AI,1)*IF(B141=$B$10,0.9,1),0)</f>
        <v>1125</v>
      </c>
      <c r="AK141" s="24">
        <f t="shared" si="585"/>
        <v>1</v>
      </c>
      <c r="AL141" s="24">
        <f>ROUND(INDEX($C$2:$C$5,MATCH($E141,$B$2:$B$5,0))*$G141/SUMIFS($G:$G,$E:$E,$E141,$B:$B,$B141,AK:AK,1)*IF(B141=$B$10,0.9,1),0)</f>
        <v>1125</v>
      </c>
      <c r="AM141" s="24">
        <f t="shared" si="585"/>
        <v>1</v>
      </c>
      <c r="AN141" s="24">
        <f>ROUND(INDEX($C$2:$C$5,MATCH($E141,$B$2:$B$5,0))*$H141/SUMIFS($H:$H,$E:$E,$E141,$B:$B,$B141,AM:AM,1)*IF(B141=$B$10,0.9,1),0)</f>
        <v>1125</v>
      </c>
      <c r="AX141" s="4" t="str">
        <f t="shared" si="559"/>
        <v>1,1125</v>
      </c>
      <c r="AY141" s="4" t="str">
        <f t="shared" si="560"/>
        <v>1,1500</v>
      </c>
      <c r="AZ141" s="4" t="str">
        <f t="shared" si="561"/>
        <v>1,1500</v>
      </c>
      <c r="BA141" s="4" t="str">
        <f t="shared" si="562"/>
        <v>1,1500</v>
      </c>
      <c r="BB141" s="4" t="str">
        <f t="shared" si="563"/>
        <v>1,1125</v>
      </c>
      <c r="BC141" s="4" t="str">
        <f t="shared" si="564"/>
        <v>1,1125</v>
      </c>
      <c r="BD141" s="4" t="str">
        <f t="shared" si="565"/>
        <v>1,1125</v>
      </c>
      <c r="BE141" s="4" t="str">
        <f t="shared" si="566"/>
        <v>1,1125</v>
      </c>
      <c r="BF141" s="4" t="str">
        <f t="shared" si="567"/>
        <v>1,1125</v>
      </c>
      <c r="BG141" s="4" t="str">
        <f t="shared" si="568"/>
        <v>1,1125</v>
      </c>
      <c r="BH141" s="4" t="str">
        <f t="shared" si="569"/>
        <v>1,1125</v>
      </c>
      <c r="BI141" s="4" t="str">
        <f t="shared" si="570"/>
        <v>1,1125</v>
      </c>
      <c r="BJ141" s="4" t="str">
        <f t="shared" si="571"/>
        <v>1,1125</v>
      </c>
    </row>
    <row r="142" customHeight="1" spans="1:62">
      <c r="A142" s="35">
        <v>841</v>
      </c>
      <c r="B142" s="40" t="s">
        <v>75</v>
      </c>
      <c r="C142" s="40" t="s">
        <v>218</v>
      </c>
      <c r="D142" s="46" t="s">
        <v>399</v>
      </c>
      <c r="E142" s="45">
        <v>3</v>
      </c>
      <c r="F142" s="35">
        <v>1</v>
      </c>
      <c r="G142" s="35">
        <f t="shared" si="572"/>
        <v>1</v>
      </c>
      <c r="H142" s="35">
        <v>1</v>
      </c>
      <c r="I142" s="35">
        <v>1</v>
      </c>
      <c r="J142" s="35">
        <v>1</v>
      </c>
      <c r="K142" s="35">
        <v>1</v>
      </c>
      <c r="L142" s="35">
        <v>1</v>
      </c>
      <c r="M142" s="35" t="s">
        <v>136</v>
      </c>
      <c r="N142">
        <f t="shared" si="573"/>
        <v>1500</v>
      </c>
      <c r="O142" s="35">
        <v>1</v>
      </c>
      <c r="P142" s="24">
        <f>ROUND(INDEX($C$2:$C$5,MATCH($E142,$B$2:$B$5,0))*$F142/SUMIFS($F:$F,$E:$E,$E142,$B:$B,$B142,O:O,1)*IF(B142=$B$10,0.9,1),0)</f>
        <v>250</v>
      </c>
      <c r="Q142" s="24">
        <f t="shared" ref="Q142:U142" si="586">IF($L142&lt;=Q$8,1,0)</f>
        <v>1</v>
      </c>
      <c r="R142" s="24">
        <f>ROUND(INDEX($C$2:$C$5,MATCH($E142,$B$2:$B$5,0))*$I142/SUMIFS($I:$I,$E:$E,$E142,$B:$B,$B142,Q:Q,1)*IF(B142=$B$10,0.9,1),0)</f>
        <v>250</v>
      </c>
      <c r="S142" s="24">
        <f t="shared" si="586"/>
        <v>1</v>
      </c>
      <c r="T142" s="24">
        <f>ROUND(INDEX($C$2:$C$5,MATCH($E142,$B$2:$B$5,0))*$J142/SUMIFS($J:$J,$E:$E,$E142,$B:$B,$B142,S:S,1)*IF(B142=$B$10,0.9,1),0)</f>
        <v>250</v>
      </c>
      <c r="U142" s="24">
        <f t="shared" si="586"/>
        <v>1</v>
      </c>
      <c r="V142" s="24">
        <f>ROUND(INDEX($C$2:$C$5,MATCH($E142,$B$2:$B$5,0))*$K142/SUMIFS($K:$K,$E:$E,$E142,$B:$B,$B142,U:U,1)*IF(B142=$B$10,0.9,1),0)</f>
        <v>250</v>
      </c>
      <c r="W142" s="24">
        <f t="shared" ref="W142:AA142" si="587">IF($L142&lt;=W$8,1,0)</f>
        <v>1</v>
      </c>
      <c r="X142" s="24">
        <f>ROUND(INDEX($C$2:$C$5,MATCH($E142,$B$2:$B$5,0))*$F142/SUMIFS($F:$F,$E:$E,$E142,$B:$B,$B142,W:W,1)*IF(B142=$B$10,0.9,1),0)</f>
        <v>250</v>
      </c>
      <c r="Y142" s="24">
        <f t="shared" si="587"/>
        <v>1</v>
      </c>
      <c r="Z142" s="24">
        <f>ROUND(INDEX($C$2:$C$5,MATCH($E142,$B$2:$B$5,0))*$G142/SUMIFS($G:$G,$E:$E,$E142,$B:$B,$B142,Y:Y,1)*IF(B142=$B$10,0.9,1),0)</f>
        <v>250</v>
      </c>
      <c r="AA142" s="24">
        <f t="shared" si="587"/>
        <v>1</v>
      </c>
      <c r="AB142" s="24">
        <f>ROUND(INDEX($C$2:$C$5,MATCH($E142,$B$2:$B$5,0))*$H142/SUMIFS($H:$H,$E:$E,$E142,$B:$B,$B142,AA:AA,1)*IF(B142=$B$10,0.9,1),0)</f>
        <v>250</v>
      </c>
      <c r="AC142" s="24">
        <f t="shared" ref="AC142:AG142" si="588">IF($L142&lt;=AC$8,1,0)</f>
        <v>1</v>
      </c>
      <c r="AD142" s="24">
        <f>ROUND(INDEX($C$2:$C$5,MATCH($E142,$B$2:$B$5,0))*$F142/SUMIFS($F:$F,$E:$E,$E142,$B:$B,$B142,AC:AC,1)*IF(B142=$B$10,0.9,1),0)</f>
        <v>250</v>
      </c>
      <c r="AE142" s="24">
        <f t="shared" si="588"/>
        <v>1</v>
      </c>
      <c r="AF142" s="24">
        <f>ROUND(INDEX($C$2:$C$5,MATCH($E142,$B$2:$B$5,0))*$G142/SUMIFS($G:$G,$E:$E,$E142,$B:$B,$B142,AE:AE,1)*IF(B142=$B$10,0.9,1),0)</f>
        <v>250</v>
      </c>
      <c r="AG142" s="24">
        <f t="shared" si="588"/>
        <v>1</v>
      </c>
      <c r="AH142" s="24">
        <f>ROUND(INDEX($C$2:$C$5,MATCH($E142,$B$2:$B$5,0))*$H142/SUMIFS($H:$H,$E:$E,$E142,$B:$B,$B142,AG:AG,1)*IF(B142=$B$10,0.9,1),0)</f>
        <v>250</v>
      </c>
      <c r="AI142" s="24">
        <f t="shared" ref="AI142:AM142" si="589">IF($L142&lt;=AI$8,1,0)</f>
        <v>1</v>
      </c>
      <c r="AJ142" s="24">
        <f>ROUND(INDEX($C$2:$C$5,MATCH($E142,$B$2:$B$5,0))*$F142/SUMIFS($F:$F,$E:$E,$E142,$B:$B,$B142,AI:AI,1)*IF(B142=$B$10,0.9,1),0)</f>
        <v>250</v>
      </c>
      <c r="AK142" s="24">
        <f t="shared" si="589"/>
        <v>1</v>
      </c>
      <c r="AL142" s="24">
        <f>ROUND(INDEX($C$2:$C$5,MATCH($E142,$B$2:$B$5,0))*$G142/SUMIFS($G:$G,$E:$E,$E142,$B:$B,$B142,AK:AK,1)*IF(B142=$B$10,0.9,1),0)</f>
        <v>250</v>
      </c>
      <c r="AM142" s="24">
        <f t="shared" si="589"/>
        <v>1</v>
      </c>
      <c r="AN142" s="24">
        <f>ROUND(INDEX($C$2:$C$5,MATCH($E142,$B$2:$B$5,0))*$H142/SUMIFS($H:$H,$E:$E,$E142,$B:$B,$B142,AM:AM,1)*IF(B142=$B$10,0.9,1),0)</f>
        <v>250</v>
      </c>
      <c r="AX142" s="4" t="str">
        <f t="shared" si="559"/>
        <v>1,250</v>
      </c>
      <c r="AY142" s="4" t="str">
        <f t="shared" si="560"/>
        <v>1,250</v>
      </c>
      <c r="AZ142" s="4" t="str">
        <f t="shared" si="561"/>
        <v>1,250</v>
      </c>
      <c r="BA142" s="4" t="str">
        <f t="shared" si="562"/>
        <v>1,250</v>
      </c>
      <c r="BB142" s="4" t="str">
        <f t="shared" si="563"/>
        <v>1,250</v>
      </c>
      <c r="BC142" s="4" t="str">
        <f t="shared" si="564"/>
        <v>1,250</v>
      </c>
      <c r="BD142" s="4" t="str">
        <f t="shared" si="565"/>
        <v>1,250</v>
      </c>
      <c r="BE142" s="4" t="str">
        <f t="shared" si="566"/>
        <v>1,250</v>
      </c>
      <c r="BF142" s="4" t="str">
        <f t="shared" si="567"/>
        <v>1,250</v>
      </c>
      <c r="BG142" s="4" t="str">
        <f t="shared" si="568"/>
        <v>1,250</v>
      </c>
      <c r="BH142" s="4" t="str">
        <f t="shared" si="569"/>
        <v>1,250</v>
      </c>
      <c r="BI142" s="4" t="str">
        <f t="shared" si="570"/>
        <v>1,250</v>
      </c>
      <c r="BJ142" s="4" t="str">
        <f t="shared" si="571"/>
        <v>1,250</v>
      </c>
    </row>
    <row r="143" customHeight="1" spans="1:62">
      <c r="A143" s="35">
        <v>842</v>
      </c>
      <c r="B143" s="40" t="s">
        <v>75</v>
      </c>
      <c r="C143" s="40" t="s">
        <v>218</v>
      </c>
      <c r="D143" s="46" t="s">
        <v>400</v>
      </c>
      <c r="E143" s="45">
        <v>3</v>
      </c>
      <c r="F143" s="35">
        <v>1</v>
      </c>
      <c r="G143" s="35">
        <f t="shared" si="572"/>
        <v>1</v>
      </c>
      <c r="H143" s="35">
        <v>1</v>
      </c>
      <c r="I143" s="35">
        <v>1</v>
      </c>
      <c r="J143" s="35">
        <v>1</v>
      </c>
      <c r="K143" s="35">
        <v>1</v>
      </c>
      <c r="L143" s="35">
        <v>1</v>
      </c>
      <c r="M143" s="35"/>
      <c r="N143">
        <f t="shared" si="573"/>
        <v>1500</v>
      </c>
      <c r="O143" s="35">
        <v>1</v>
      </c>
      <c r="P143" s="24">
        <f>ROUND(INDEX($C$2:$C$5,MATCH($E143,$B$2:$B$5,0))*$F143/SUMIFS($F:$F,$E:$E,$E143,$B:$B,$B143,O:O,1)*IF(B143=$B$10,0.9,1),0)</f>
        <v>250</v>
      </c>
      <c r="Q143" s="24">
        <f t="shared" ref="Q143:U143" si="590">IF($L143&lt;=Q$8,1,0)</f>
        <v>1</v>
      </c>
      <c r="R143" s="24">
        <f>ROUND(INDEX($C$2:$C$5,MATCH($E143,$B$2:$B$5,0))*$I143/SUMIFS($I:$I,$E:$E,$E143,$B:$B,$B143,Q:Q,1)*IF(B143=$B$10,0.9,1),0)</f>
        <v>250</v>
      </c>
      <c r="S143" s="24">
        <f t="shared" si="590"/>
        <v>1</v>
      </c>
      <c r="T143" s="24">
        <f>ROUND(INDEX($C$2:$C$5,MATCH($E143,$B$2:$B$5,0))*$J143/SUMIFS($J:$J,$E:$E,$E143,$B:$B,$B143,S:S,1)*IF(B143=$B$10,0.9,1),0)</f>
        <v>250</v>
      </c>
      <c r="U143" s="24">
        <f t="shared" si="590"/>
        <v>1</v>
      </c>
      <c r="V143" s="24">
        <f>ROUND(INDEX($C$2:$C$5,MATCH($E143,$B$2:$B$5,0))*$K143/SUMIFS($K:$K,$E:$E,$E143,$B:$B,$B143,U:U,1)*IF(B143=$B$10,0.9,1),0)</f>
        <v>250</v>
      </c>
      <c r="W143" s="24">
        <f t="shared" ref="W143:AA143" si="591">IF($L143&lt;=W$8,1,0)</f>
        <v>1</v>
      </c>
      <c r="X143" s="24">
        <f>ROUND(INDEX($C$2:$C$5,MATCH($E143,$B$2:$B$5,0))*$F143/SUMIFS($F:$F,$E:$E,$E143,$B:$B,$B143,W:W,1)*IF(B143=$B$10,0.9,1),0)</f>
        <v>250</v>
      </c>
      <c r="Y143" s="24">
        <f t="shared" si="591"/>
        <v>1</v>
      </c>
      <c r="Z143" s="24">
        <f>ROUND(INDEX($C$2:$C$5,MATCH($E143,$B$2:$B$5,0))*$G143/SUMIFS($G:$G,$E:$E,$E143,$B:$B,$B143,Y:Y,1)*IF(B143=$B$10,0.9,1),0)</f>
        <v>250</v>
      </c>
      <c r="AA143" s="24">
        <f t="shared" si="591"/>
        <v>1</v>
      </c>
      <c r="AB143" s="24">
        <f>ROUND(INDEX($C$2:$C$5,MATCH($E143,$B$2:$B$5,0))*$H143/SUMIFS($H:$H,$E:$E,$E143,$B:$B,$B143,AA:AA,1)*IF(B143=$B$10,0.9,1),0)</f>
        <v>250</v>
      </c>
      <c r="AC143" s="24">
        <f t="shared" ref="AC143:AG143" si="592">IF($L143&lt;=AC$8,1,0)</f>
        <v>1</v>
      </c>
      <c r="AD143" s="24">
        <f>ROUND(INDEX($C$2:$C$5,MATCH($E143,$B$2:$B$5,0))*$F143/SUMIFS($F:$F,$E:$E,$E143,$B:$B,$B143,AC:AC,1)*IF(B143=$B$10,0.9,1),0)</f>
        <v>250</v>
      </c>
      <c r="AE143" s="24">
        <f t="shared" si="592"/>
        <v>1</v>
      </c>
      <c r="AF143" s="24">
        <f>ROUND(INDEX($C$2:$C$5,MATCH($E143,$B$2:$B$5,0))*$G143/SUMIFS($G:$G,$E:$E,$E143,$B:$B,$B143,AE:AE,1)*IF(B143=$B$10,0.9,1),0)</f>
        <v>250</v>
      </c>
      <c r="AG143" s="24">
        <f t="shared" si="592"/>
        <v>1</v>
      </c>
      <c r="AH143" s="24">
        <f>ROUND(INDEX($C$2:$C$5,MATCH($E143,$B$2:$B$5,0))*$H143/SUMIFS($H:$H,$E:$E,$E143,$B:$B,$B143,AG:AG,1)*IF(B143=$B$10,0.9,1),0)</f>
        <v>250</v>
      </c>
      <c r="AI143" s="24">
        <f t="shared" ref="AI143:AM143" si="593">IF($L143&lt;=AI$8,1,0)</f>
        <v>1</v>
      </c>
      <c r="AJ143" s="24">
        <f>ROUND(INDEX($C$2:$C$5,MATCH($E143,$B$2:$B$5,0))*$F143/SUMIFS($F:$F,$E:$E,$E143,$B:$B,$B143,AI:AI,1)*IF(B143=$B$10,0.9,1),0)</f>
        <v>250</v>
      </c>
      <c r="AK143" s="24">
        <f t="shared" si="593"/>
        <v>1</v>
      </c>
      <c r="AL143" s="24">
        <f>ROUND(INDEX($C$2:$C$5,MATCH($E143,$B$2:$B$5,0))*$G143/SUMIFS($G:$G,$E:$E,$E143,$B:$B,$B143,AK:AK,1)*IF(B143=$B$10,0.9,1),0)</f>
        <v>250</v>
      </c>
      <c r="AM143" s="24">
        <f t="shared" si="593"/>
        <v>1</v>
      </c>
      <c r="AN143" s="24">
        <f>ROUND(INDEX($C$2:$C$5,MATCH($E143,$B$2:$B$5,0))*$H143/SUMIFS($H:$H,$E:$E,$E143,$B:$B,$B143,AM:AM,1)*IF(B143=$B$10,0.9,1),0)</f>
        <v>250</v>
      </c>
      <c r="AX143" s="4" t="str">
        <f t="shared" si="559"/>
        <v>1,250</v>
      </c>
      <c r="AY143" s="4" t="str">
        <f t="shared" si="560"/>
        <v>1,250</v>
      </c>
      <c r="AZ143" s="4" t="str">
        <f t="shared" si="561"/>
        <v>1,250</v>
      </c>
      <c r="BA143" s="4" t="str">
        <f t="shared" si="562"/>
        <v>1,250</v>
      </c>
      <c r="BB143" s="4" t="str">
        <f t="shared" si="563"/>
        <v>1,250</v>
      </c>
      <c r="BC143" s="4" t="str">
        <f t="shared" si="564"/>
        <v>1,250</v>
      </c>
      <c r="BD143" s="4" t="str">
        <f t="shared" si="565"/>
        <v>1,250</v>
      </c>
      <c r="BE143" s="4" t="str">
        <f t="shared" si="566"/>
        <v>1,250</v>
      </c>
      <c r="BF143" s="4" t="str">
        <f t="shared" si="567"/>
        <v>1,250</v>
      </c>
      <c r="BG143" s="4" t="str">
        <f t="shared" si="568"/>
        <v>1,250</v>
      </c>
      <c r="BH143" s="4" t="str">
        <f t="shared" si="569"/>
        <v>1,250</v>
      </c>
      <c r="BI143" s="4" t="str">
        <f t="shared" si="570"/>
        <v>1,250</v>
      </c>
      <c r="BJ143" s="4" t="str">
        <f t="shared" si="571"/>
        <v>1,250</v>
      </c>
    </row>
    <row r="144" customHeight="1" spans="1:62">
      <c r="A144" s="35">
        <v>851</v>
      </c>
      <c r="B144" s="40" t="s">
        <v>75</v>
      </c>
      <c r="C144" s="40" t="s">
        <v>218</v>
      </c>
      <c r="D144" s="47" t="s">
        <v>401</v>
      </c>
      <c r="E144" s="50">
        <v>4</v>
      </c>
      <c r="F144" s="35">
        <v>1</v>
      </c>
      <c r="G144" s="35">
        <f t="shared" si="572"/>
        <v>1</v>
      </c>
      <c r="H144" s="35">
        <v>1</v>
      </c>
      <c r="I144" s="35">
        <v>1</v>
      </c>
      <c r="J144" s="35">
        <v>1</v>
      </c>
      <c r="K144" s="35">
        <v>1</v>
      </c>
      <c r="L144" s="35">
        <v>3</v>
      </c>
      <c r="M144" s="35"/>
      <c r="N144">
        <f t="shared" si="573"/>
        <v>500</v>
      </c>
      <c r="O144" s="35">
        <v>1</v>
      </c>
      <c r="P144" s="24">
        <f>ROUND(INDEX($C$2:$C$5,MATCH($E144,$B$2:$B$5,0))*$F144/SUMIFS($F:$F,$E:$E,$E144,$B:$B,$B144,O:O,1)*IF(B144=$B$10,0.9,1),0)</f>
        <v>250</v>
      </c>
      <c r="Q144" s="24">
        <f t="shared" ref="Q144:U144" si="594">IF($L144&lt;=Q$8,1,0)</f>
        <v>0</v>
      </c>
      <c r="R144" s="24">
        <f>ROUND(INDEX($C$2:$C$5,MATCH($E144,$B$2:$B$5,0))*$I144/SUMIFS($I:$I,$E:$E,$E144,$B:$B,$B144,Q:Q,1)*IF(B144=$B$10,0.9,1),0)</f>
        <v>500</v>
      </c>
      <c r="S144" s="24">
        <f t="shared" si="594"/>
        <v>0</v>
      </c>
      <c r="T144" s="24">
        <f>ROUND(INDEX($C$2:$C$5,MATCH($E144,$B$2:$B$5,0))*$J144/SUMIFS($J:$J,$E:$E,$E144,$B:$B,$B144,S:S,1)*IF(B144=$B$10,0.9,1),0)</f>
        <v>500</v>
      </c>
      <c r="U144" s="24">
        <f t="shared" si="594"/>
        <v>0</v>
      </c>
      <c r="V144" s="24">
        <f>ROUND(INDEX($C$2:$C$5,MATCH($E144,$B$2:$B$5,0))*$K144/SUMIFS($K:$K,$E:$E,$E144,$B:$B,$B144,U:U,1)*IF(B144=$B$10,0.9,1),0)</f>
        <v>500</v>
      </c>
      <c r="W144" s="24">
        <f t="shared" ref="W144:AA144" si="595">IF($L144&lt;=W$8,1,0)</f>
        <v>0</v>
      </c>
      <c r="X144" s="24">
        <f>ROUND(INDEX($C$2:$C$5,MATCH($E144,$B$2:$B$5,0))*$F144/SUMIFS($F:$F,$E:$E,$E144,$B:$B,$B144,W:W,1)*IF(B144=$B$10,0.9,1),0)</f>
        <v>500</v>
      </c>
      <c r="Y144" s="24">
        <f t="shared" si="595"/>
        <v>0</v>
      </c>
      <c r="Z144" s="24">
        <f>ROUND(INDEX($C$2:$C$5,MATCH($E144,$B$2:$B$5,0))*$G144/SUMIFS($G:$G,$E:$E,$E144,$B:$B,$B144,Y:Y,1)*IF(B144=$B$10,0.9,1),0)</f>
        <v>500</v>
      </c>
      <c r="AA144" s="24">
        <f t="shared" si="595"/>
        <v>0</v>
      </c>
      <c r="AB144" s="24">
        <f>ROUND(INDEX($C$2:$C$5,MATCH($E144,$B$2:$B$5,0))*$H144/SUMIFS($H:$H,$E:$E,$E144,$B:$B,$B144,AA:AA,1)*IF(B144=$B$10,0.9,1),0)</f>
        <v>500</v>
      </c>
      <c r="AC144" s="24">
        <f t="shared" ref="AC144:AG144" si="596">IF($L144&lt;=AC$8,1,0)</f>
        <v>1</v>
      </c>
      <c r="AD144" s="24">
        <f>ROUND(INDEX($C$2:$C$5,MATCH($E144,$B$2:$B$5,0))*$F144/SUMIFS($F:$F,$E:$E,$E144,$B:$B,$B144,AC:AC,1)*IF(B144=$B$10,0.9,1),0)</f>
        <v>250</v>
      </c>
      <c r="AE144" s="24">
        <f t="shared" si="596"/>
        <v>1</v>
      </c>
      <c r="AF144" s="24">
        <f>ROUND(INDEX($C$2:$C$5,MATCH($E144,$B$2:$B$5,0))*$G144/SUMIFS($G:$G,$E:$E,$E144,$B:$B,$B144,AE:AE,1)*IF(B144=$B$10,0.9,1),0)</f>
        <v>250</v>
      </c>
      <c r="AG144" s="24">
        <f t="shared" si="596"/>
        <v>1</v>
      </c>
      <c r="AH144" s="24">
        <f>ROUND(INDEX($C$2:$C$5,MATCH($E144,$B$2:$B$5,0))*$H144/SUMIFS($H:$H,$E:$E,$E144,$B:$B,$B144,AG:AG,1)*IF(B144=$B$10,0.9,1),0)</f>
        <v>250</v>
      </c>
      <c r="AI144" s="24">
        <f t="shared" ref="AI144:AM144" si="597">IF($L144&lt;=AI$8,1,0)</f>
        <v>1</v>
      </c>
      <c r="AJ144" s="24">
        <f>ROUND(INDEX($C$2:$C$5,MATCH($E144,$B$2:$B$5,0))*$F144/SUMIFS($F:$F,$E:$E,$E144,$B:$B,$B144,AI:AI,1)*IF(B144=$B$10,0.9,1),0)</f>
        <v>250</v>
      </c>
      <c r="AK144" s="24">
        <f t="shared" si="597"/>
        <v>1</v>
      </c>
      <c r="AL144" s="24">
        <f>ROUND(INDEX($C$2:$C$5,MATCH($E144,$B$2:$B$5,0))*$G144/SUMIFS($G:$G,$E:$E,$E144,$B:$B,$B144,AK:AK,1)*IF(B144=$B$10,0.9,1),0)</f>
        <v>250</v>
      </c>
      <c r="AM144" s="24">
        <f t="shared" si="597"/>
        <v>1</v>
      </c>
      <c r="AN144" s="24">
        <f>ROUND(INDEX($C$2:$C$5,MATCH($E144,$B$2:$B$5,0))*$H144/SUMIFS($H:$H,$E:$E,$E144,$B:$B,$B144,AM:AM,1)*IF(B144=$B$10,0.9,1),0)</f>
        <v>250</v>
      </c>
      <c r="AX144" s="4" t="str">
        <f t="shared" si="559"/>
        <v>1,250</v>
      </c>
      <c r="AY144" s="4" t="str">
        <f t="shared" si="560"/>
        <v>0,500</v>
      </c>
      <c r="AZ144" s="4" t="str">
        <f t="shared" si="561"/>
        <v>0,500</v>
      </c>
      <c r="BA144" s="4" t="str">
        <f t="shared" si="562"/>
        <v>0,500</v>
      </c>
      <c r="BB144" s="4" t="str">
        <f t="shared" si="563"/>
        <v>0,500</v>
      </c>
      <c r="BC144" s="4" t="str">
        <f t="shared" si="564"/>
        <v>0,500</v>
      </c>
      <c r="BD144" s="4" t="str">
        <f t="shared" si="565"/>
        <v>0,500</v>
      </c>
      <c r="BE144" s="4" t="str">
        <f t="shared" si="566"/>
        <v>1,250</v>
      </c>
      <c r="BF144" s="4" t="str">
        <f t="shared" si="567"/>
        <v>1,250</v>
      </c>
      <c r="BG144" s="4" t="str">
        <f t="shared" si="568"/>
        <v>1,250</v>
      </c>
      <c r="BH144" s="4" t="str">
        <f t="shared" si="569"/>
        <v>1,250</v>
      </c>
      <c r="BI144" s="4" t="str">
        <f t="shared" si="570"/>
        <v>1,250</v>
      </c>
      <c r="BJ144" s="4" t="str">
        <f t="shared" si="571"/>
        <v>1,250</v>
      </c>
    </row>
    <row r="145" customHeight="1" spans="1:62">
      <c r="A145" s="35">
        <v>852</v>
      </c>
      <c r="B145" s="40" t="s">
        <v>75</v>
      </c>
      <c r="C145" s="40" t="s">
        <v>218</v>
      </c>
      <c r="D145" s="48" t="s">
        <v>402</v>
      </c>
      <c r="E145" s="50">
        <v>4</v>
      </c>
      <c r="F145" s="35">
        <v>1</v>
      </c>
      <c r="G145" s="35">
        <f t="shared" si="572"/>
        <v>1</v>
      </c>
      <c r="H145" s="35">
        <v>1</v>
      </c>
      <c r="I145" s="35">
        <v>1</v>
      </c>
      <c r="J145" s="35">
        <v>1</v>
      </c>
      <c r="K145" s="35">
        <v>1</v>
      </c>
      <c r="L145" s="35">
        <v>1</v>
      </c>
      <c r="M145" s="35"/>
      <c r="N145">
        <f t="shared" si="573"/>
        <v>500</v>
      </c>
      <c r="O145" s="35">
        <v>1</v>
      </c>
      <c r="P145" s="24">
        <f>ROUND(INDEX($C$2:$C$5,MATCH($E145,$B$2:$B$5,0))*$F145/SUMIFS($F:$F,$E:$E,$E145,$B:$B,$B145,O:O,1)*IF(B145=$B$10,0.9,1),0)</f>
        <v>250</v>
      </c>
      <c r="Q145" s="24">
        <f t="shared" ref="Q145:U145" si="598">IF($L145&lt;=Q$8,1,0)</f>
        <v>1</v>
      </c>
      <c r="R145" s="24">
        <f>ROUND(INDEX($C$2:$C$5,MATCH($E145,$B$2:$B$5,0))*$I145/SUMIFS($I:$I,$E:$E,$E145,$B:$B,$B145,Q:Q,1)*IF(B145=$B$10,0.9,1),0)</f>
        <v>500</v>
      </c>
      <c r="S145" s="24">
        <f t="shared" si="598"/>
        <v>1</v>
      </c>
      <c r="T145" s="24">
        <f>ROUND(INDEX($C$2:$C$5,MATCH($E145,$B$2:$B$5,0))*$J145/SUMIFS($J:$J,$E:$E,$E145,$B:$B,$B145,S:S,1)*IF(B145=$B$10,0.9,1),0)</f>
        <v>500</v>
      </c>
      <c r="U145" s="24">
        <f t="shared" si="598"/>
        <v>1</v>
      </c>
      <c r="V145" s="24">
        <f>ROUND(INDEX($C$2:$C$5,MATCH($E145,$B$2:$B$5,0))*$K145/SUMIFS($K:$K,$E:$E,$E145,$B:$B,$B145,U:U,1)*IF(B145=$B$10,0.9,1),0)</f>
        <v>500</v>
      </c>
      <c r="W145" s="24">
        <f t="shared" ref="W145:AA145" si="599">IF($L145&lt;=W$8,1,0)</f>
        <v>1</v>
      </c>
      <c r="X145" s="24">
        <f>ROUND(INDEX($C$2:$C$5,MATCH($E145,$B$2:$B$5,0))*$F145/SUMIFS($F:$F,$E:$E,$E145,$B:$B,$B145,W:W,1)*IF(B145=$B$10,0.9,1),0)</f>
        <v>500</v>
      </c>
      <c r="Y145" s="24">
        <f t="shared" si="599"/>
        <v>1</v>
      </c>
      <c r="Z145" s="24">
        <f>ROUND(INDEX($C$2:$C$5,MATCH($E145,$B$2:$B$5,0))*$G145/SUMIFS($G:$G,$E:$E,$E145,$B:$B,$B145,Y:Y,1)*IF(B145=$B$10,0.9,1),0)</f>
        <v>500</v>
      </c>
      <c r="AA145" s="24">
        <f t="shared" si="599"/>
        <v>1</v>
      </c>
      <c r="AB145" s="24">
        <f>ROUND(INDEX($C$2:$C$5,MATCH($E145,$B$2:$B$5,0))*$H145/SUMIFS($H:$H,$E:$E,$E145,$B:$B,$B145,AA:AA,1)*IF(B145=$B$10,0.9,1),0)</f>
        <v>500</v>
      </c>
      <c r="AC145" s="24">
        <f t="shared" ref="AC145:AG145" si="600">IF($L145&lt;=AC$8,1,0)</f>
        <v>1</v>
      </c>
      <c r="AD145" s="24">
        <f>ROUND(INDEX($C$2:$C$5,MATCH($E145,$B$2:$B$5,0))*$F145/SUMIFS($F:$F,$E:$E,$E145,$B:$B,$B145,AC:AC,1)*IF(B145=$B$10,0.9,1),0)</f>
        <v>250</v>
      </c>
      <c r="AE145" s="24">
        <f t="shared" si="600"/>
        <v>1</v>
      </c>
      <c r="AF145" s="24">
        <f>ROUND(INDEX($C$2:$C$5,MATCH($E145,$B$2:$B$5,0))*$G145/SUMIFS($G:$G,$E:$E,$E145,$B:$B,$B145,AE:AE,1)*IF(B145=$B$10,0.9,1),0)</f>
        <v>250</v>
      </c>
      <c r="AG145" s="24">
        <f t="shared" si="600"/>
        <v>1</v>
      </c>
      <c r="AH145" s="24">
        <f>ROUND(INDEX($C$2:$C$5,MATCH($E145,$B$2:$B$5,0))*$H145/SUMIFS($H:$H,$E:$E,$E145,$B:$B,$B145,AG:AG,1)*IF(B145=$B$10,0.9,1),0)</f>
        <v>250</v>
      </c>
      <c r="AI145" s="24">
        <f t="shared" ref="AI145:AM145" si="601">IF($L145&lt;=AI$8,1,0)</f>
        <v>1</v>
      </c>
      <c r="AJ145" s="24">
        <f>ROUND(INDEX($C$2:$C$5,MATCH($E145,$B$2:$B$5,0))*$F145/SUMIFS($F:$F,$E:$E,$E145,$B:$B,$B145,AI:AI,1)*IF(B145=$B$10,0.9,1),0)</f>
        <v>250</v>
      </c>
      <c r="AK145" s="24">
        <f t="shared" si="601"/>
        <v>1</v>
      </c>
      <c r="AL145" s="24">
        <f>ROUND(INDEX($C$2:$C$5,MATCH($E145,$B$2:$B$5,0))*$G145/SUMIFS($G:$G,$E:$E,$E145,$B:$B,$B145,AK:AK,1)*IF(B145=$B$10,0.9,1),0)</f>
        <v>250</v>
      </c>
      <c r="AM145" s="24">
        <f t="shared" si="601"/>
        <v>1</v>
      </c>
      <c r="AN145" s="24">
        <f>ROUND(INDEX($C$2:$C$5,MATCH($E145,$B$2:$B$5,0))*$H145/SUMIFS($H:$H,$E:$E,$E145,$B:$B,$B145,AM:AM,1)*IF(B145=$B$10,0.9,1),0)</f>
        <v>250</v>
      </c>
      <c r="AX145" s="4" t="str">
        <f t="shared" si="559"/>
        <v>1,250</v>
      </c>
      <c r="AY145" s="4" t="str">
        <f t="shared" si="560"/>
        <v>1,500</v>
      </c>
      <c r="AZ145" s="4" t="str">
        <f t="shared" si="561"/>
        <v>1,500</v>
      </c>
      <c r="BA145" s="4" t="str">
        <f t="shared" si="562"/>
        <v>1,500</v>
      </c>
      <c r="BB145" s="4" t="str">
        <f t="shared" si="563"/>
        <v>1,500</v>
      </c>
      <c r="BC145" s="4" t="str">
        <f t="shared" si="564"/>
        <v>1,500</v>
      </c>
      <c r="BD145" s="4" t="str">
        <f t="shared" si="565"/>
        <v>1,500</v>
      </c>
      <c r="BE145" s="4" t="str">
        <f t="shared" si="566"/>
        <v>1,250</v>
      </c>
      <c r="BF145" s="4" t="str">
        <f t="shared" si="567"/>
        <v>1,250</v>
      </c>
      <c r="BG145" s="4" t="str">
        <f t="shared" si="568"/>
        <v>1,250</v>
      </c>
      <c r="BH145" s="4" t="str">
        <f t="shared" si="569"/>
        <v>1,250</v>
      </c>
      <c r="BI145" s="4" t="str">
        <f t="shared" si="570"/>
        <v>1,250</v>
      </c>
      <c r="BJ145" s="4" t="str">
        <f t="shared" si="571"/>
        <v>1,250</v>
      </c>
    </row>
    <row r="146" customHeight="1" spans="1:62">
      <c r="A146" s="35">
        <v>901</v>
      </c>
      <c r="B146" s="40" t="s">
        <v>81</v>
      </c>
      <c r="C146" s="40"/>
      <c r="D146" s="41" t="s">
        <v>356</v>
      </c>
      <c r="E146" s="35">
        <v>1</v>
      </c>
      <c r="F146" s="35">
        <v>1</v>
      </c>
      <c r="G146" s="35">
        <f t="shared" si="572"/>
        <v>1</v>
      </c>
      <c r="H146" s="35">
        <v>1</v>
      </c>
      <c r="I146" s="35">
        <v>1</v>
      </c>
      <c r="J146" s="35">
        <v>1</v>
      </c>
      <c r="K146" s="35">
        <v>1</v>
      </c>
      <c r="L146" s="35">
        <v>1</v>
      </c>
      <c r="M146" s="35"/>
      <c r="N146">
        <f t="shared" si="573"/>
        <v>13500</v>
      </c>
      <c r="O146" s="35">
        <v>1</v>
      </c>
      <c r="P146" s="24">
        <f>ROUND(INDEX($C$2:$C$5,MATCH($E146,$B$2:$B$5,0))*$F146/SUMIFS($F:$F,$E:$E,$E146,$B:$B,$B146,O:O,1)*IF(B146=$B$10,0.9,1),0)</f>
        <v>4500</v>
      </c>
      <c r="Q146" s="24">
        <f t="shared" ref="Q146:U146" si="602">IF($L146&lt;=Q$8,1,0)</f>
        <v>1</v>
      </c>
      <c r="R146" s="24">
        <f>ROUND(INDEX($C$2:$C$5,MATCH($E146,$B$2:$B$5,0))*$I146/SUMIFS($I:$I,$E:$E,$E146,$B:$B,$B146,Q:Q,1)*IF(B146=$B$10,0.9,1),0)</f>
        <v>4500</v>
      </c>
      <c r="S146" s="24">
        <f t="shared" si="602"/>
        <v>1</v>
      </c>
      <c r="T146" s="24">
        <f>ROUND(INDEX($C$2:$C$5,MATCH($E146,$B$2:$B$5,0))*$J146/SUMIFS($J:$J,$E:$E,$E146,$B:$B,$B146,S:S,1)*IF(B146=$B$10,0.9,1),0)</f>
        <v>4500</v>
      </c>
      <c r="U146" s="24">
        <f t="shared" si="602"/>
        <v>1</v>
      </c>
      <c r="V146" s="24">
        <f>ROUND(INDEX($C$2:$C$5,MATCH($E146,$B$2:$B$5,0))*$K146/SUMIFS($K:$K,$E:$E,$E146,$B:$B,$B146,U:U,1)*IF(B146=$B$10,0.9,1),0)</f>
        <v>4500</v>
      </c>
      <c r="W146" s="24">
        <f t="shared" ref="W146:AA146" si="603">IF($L146&lt;=W$8,1,0)</f>
        <v>1</v>
      </c>
      <c r="X146" s="24">
        <f>ROUND(INDEX($C$2:$C$5,MATCH($E146,$B$2:$B$5,0))*$F146/SUMIFS($F:$F,$E:$E,$E146,$B:$B,$B146,W:W,1)*IF(B146=$B$10,0.9,1),0)</f>
        <v>4500</v>
      </c>
      <c r="Y146" s="24">
        <f t="shared" si="603"/>
        <v>1</v>
      </c>
      <c r="Z146" s="24">
        <f>ROUND(INDEX($C$2:$C$5,MATCH($E146,$B$2:$B$5,0))*$G146/SUMIFS($G:$G,$E:$E,$E146,$B:$B,$B146,Y:Y,1)*IF(B146=$B$10,0.9,1),0)</f>
        <v>4500</v>
      </c>
      <c r="AA146" s="24">
        <f t="shared" si="603"/>
        <v>1</v>
      </c>
      <c r="AB146" s="24">
        <f>ROUND(INDEX($C$2:$C$5,MATCH($E146,$B$2:$B$5,0))*$H146/SUMIFS($H:$H,$E:$E,$E146,$B:$B,$B146,AA:AA,1)*IF(B146=$B$10,0.9,1),0)</f>
        <v>4500</v>
      </c>
      <c r="AC146" s="24">
        <f t="shared" ref="AC146:AG146" si="604">IF($L146&lt;=AC$8,1,0)</f>
        <v>1</v>
      </c>
      <c r="AD146" s="24">
        <f>ROUND(INDEX($C$2:$C$5,MATCH($E146,$B$2:$B$5,0))*$F146/SUMIFS($F:$F,$E:$E,$E146,$B:$B,$B146,AC:AC,1)*IF(B146=$B$10,0.9,1),0)</f>
        <v>4500</v>
      </c>
      <c r="AE146" s="24">
        <f t="shared" si="604"/>
        <v>1</v>
      </c>
      <c r="AF146" s="24">
        <f>ROUND(INDEX($C$2:$C$5,MATCH($E146,$B$2:$B$5,0))*$G146/SUMIFS($G:$G,$E:$E,$E146,$B:$B,$B146,AE:AE,1)*IF(B146=$B$10,0.9,1),0)</f>
        <v>4500</v>
      </c>
      <c r="AG146" s="24">
        <f t="shared" si="604"/>
        <v>1</v>
      </c>
      <c r="AH146" s="24">
        <f>ROUND(INDEX($C$2:$C$5,MATCH($E146,$B$2:$B$5,0))*$H146/SUMIFS($H:$H,$E:$E,$E146,$B:$B,$B146,AG:AG,1)*IF(B146=$B$10,0.9,1),0)</f>
        <v>4500</v>
      </c>
      <c r="AI146" s="24">
        <f t="shared" ref="AI146:AM146" si="605">IF($L146&lt;=AI$8,1,0)</f>
        <v>1</v>
      </c>
      <c r="AJ146" s="24">
        <f>ROUND(INDEX($C$2:$C$5,MATCH($E146,$B$2:$B$5,0))*$F146/SUMIFS($F:$F,$E:$E,$E146,$B:$B,$B146,AI:AI,1)*IF(B146=$B$10,0.9,1),0)</f>
        <v>4500</v>
      </c>
      <c r="AK146" s="24">
        <f t="shared" si="605"/>
        <v>1</v>
      </c>
      <c r="AL146" s="24">
        <f>ROUND(INDEX($C$2:$C$5,MATCH($E146,$B$2:$B$5,0))*$G146/SUMIFS($G:$G,$E:$E,$E146,$B:$B,$B146,AK:AK,1)*IF(B146=$B$10,0.9,1),0)</f>
        <v>4500</v>
      </c>
      <c r="AM146" s="24">
        <f t="shared" si="605"/>
        <v>1</v>
      </c>
      <c r="AN146" s="24">
        <f>ROUND(INDEX($C$2:$C$5,MATCH($E146,$B$2:$B$5,0))*$H146/SUMIFS($H:$H,$E:$E,$E146,$B:$B,$B146,AM:AM,1)*IF(B146=$B$10,0.9,1),0)</f>
        <v>4500</v>
      </c>
      <c r="AX146" s="4" t="str">
        <f t="shared" si="559"/>
        <v>1,4500</v>
      </c>
      <c r="AY146" s="4" t="str">
        <f t="shared" si="560"/>
        <v>1,4500</v>
      </c>
      <c r="AZ146" s="4" t="str">
        <f t="shared" si="561"/>
        <v>1,4500</v>
      </c>
      <c r="BA146" s="4" t="str">
        <f t="shared" si="562"/>
        <v>1,4500</v>
      </c>
      <c r="BB146" s="4" t="str">
        <f t="shared" si="563"/>
        <v>1,4500</v>
      </c>
      <c r="BC146" s="4" t="str">
        <f t="shared" si="564"/>
        <v>1,4500</v>
      </c>
      <c r="BD146" s="4" t="str">
        <f t="shared" si="565"/>
        <v>1,4500</v>
      </c>
      <c r="BE146" s="4" t="str">
        <f t="shared" si="566"/>
        <v>1,4500</v>
      </c>
      <c r="BF146" s="4" t="str">
        <f t="shared" si="567"/>
        <v>1,4500</v>
      </c>
      <c r="BG146" s="4" t="str">
        <f t="shared" si="568"/>
        <v>1,4500</v>
      </c>
      <c r="BH146" s="4" t="str">
        <f t="shared" si="569"/>
        <v>1,4500</v>
      </c>
      <c r="BI146" s="4" t="str">
        <f t="shared" si="570"/>
        <v>1,4500</v>
      </c>
      <c r="BJ146" s="4" t="str">
        <f t="shared" si="571"/>
        <v>1,4500</v>
      </c>
    </row>
    <row r="147" customHeight="1" spans="1:62">
      <c r="A147" s="35">
        <v>902</v>
      </c>
      <c r="B147" s="40" t="s">
        <v>81</v>
      </c>
      <c r="C147" s="40"/>
      <c r="D147" s="41" t="s">
        <v>357</v>
      </c>
      <c r="E147" s="43">
        <v>1</v>
      </c>
      <c r="F147" s="35">
        <v>1</v>
      </c>
      <c r="G147" s="35">
        <f t="shared" si="572"/>
        <v>1</v>
      </c>
      <c r="H147" s="35">
        <v>1</v>
      </c>
      <c r="I147" s="35">
        <v>1</v>
      </c>
      <c r="J147" s="35">
        <v>1</v>
      </c>
      <c r="K147" s="35">
        <v>1</v>
      </c>
      <c r="L147" s="35">
        <v>1</v>
      </c>
      <c r="M147" s="35"/>
      <c r="N147">
        <f t="shared" si="573"/>
        <v>13500</v>
      </c>
      <c r="O147" s="35">
        <v>1</v>
      </c>
      <c r="P147" s="24">
        <f>ROUND(INDEX($C$2:$C$5,MATCH($E147,$B$2:$B$5,0))*$F147/SUMIFS($F:$F,$E:$E,$E147,$B:$B,$B147,O:O,1)*IF(B147=$B$10,0.9,1),0)</f>
        <v>4500</v>
      </c>
      <c r="Q147" s="24">
        <f t="shared" ref="Q147:U147" si="606">IF($L147&lt;=Q$8,1,0)</f>
        <v>1</v>
      </c>
      <c r="R147" s="24">
        <f>ROUND(INDEX($C$2:$C$5,MATCH($E147,$B$2:$B$5,0))*$I147/SUMIFS($I:$I,$E:$E,$E147,$B:$B,$B147,Q:Q,1)*IF(B147=$B$10,0.9,1),0)</f>
        <v>4500</v>
      </c>
      <c r="S147" s="24">
        <f t="shared" si="606"/>
        <v>1</v>
      </c>
      <c r="T147" s="24">
        <f>ROUND(INDEX($C$2:$C$5,MATCH($E147,$B$2:$B$5,0))*$J147/SUMIFS($J:$J,$E:$E,$E147,$B:$B,$B147,S:S,1)*IF(B147=$B$10,0.9,1),0)</f>
        <v>4500</v>
      </c>
      <c r="U147" s="24">
        <f t="shared" si="606"/>
        <v>1</v>
      </c>
      <c r="V147" s="24">
        <f>ROUND(INDEX($C$2:$C$5,MATCH($E147,$B$2:$B$5,0))*$K147/SUMIFS($K:$K,$E:$E,$E147,$B:$B,$B147,U:U,1)*IF(B147=$B$10,0.9,1),0)</f>
        <v>4500</v>
      </c>
      <c r="W147" s="24">
        <f t="shared" ref="W147:AA147" si="607">IF($L147&lt;=W$8,1,0)</f>
        <v>1</v>
      </c>
      <c r="X147" s="24">
        <f>ROUND(INDEX($C$2:$C$5,MATCH($E147,$B$2:$B$5,0))*$F147/SUMIFS($F:$F,$E:$E,$E147,$B:$B,$B147,W:W,1)*IF(B147=$B$10,0.9,1),0)</f>
        <v>4500</v>
      </c>
      <c r="Y147" s="24">
        <f t="shared" si="607"/>
        <v>1</v>
      </c>
      <c r="Z147" s="24">
        <f>ROUND(INDEX($C$2:$C$5,MATCH($E147,$B$2:$B$5,0))*$G147/SUMIFS($G:$G,$E:$E,$E147,$B:$B,$B147,Y:Y,1)*IF(B147=$B$10,0.9,1),0)</f>
        <v>4500</v>
      </c>
      <c r="AA147" s="24">
        <f t="shared" si="607"/>
        <v>1</v>
      </c>
      <c r="AB147" s="24">
        <f>ROUND(INDEX($C$2:$C$5,MATCH($E147,$B$2:$B$5,0))*$H147/SUMIFS($H:$H,$E:$E,$E147,$B:$B,$B147,AA:AA,1)*IF(B147=$B$10,0.9,1),0)</f>
        <v>4500</v>
      </c>
      <c r="AC147" s="24">
        <f t="shared" ref="AC147:AG147" si="608">IF($L147&lt;=AC$8,1,0)</f>
        <v>1</v>
      </c>
      <c r="AD147" s="24">
        <f>ROUND(INDEX($C$2:$C$5,MATCH($E147,$B$2:$B$5,0))*$F147/SUMIFS($F:$F,$E:$E,$E147,$B:$B,$B147,AC:AC,1)*IF(B147=$B$10,0.9,1),0)</f>
        <v>4500</v>
      </c>
      <c r="AE147" s="24">
        <f t="shared" si="608"/>
        <v>1</v>
      </c>
      <c r="AF147" s="24">
        <f>ROUND(INDEX($C$2:$C$5,MATCH($E147,$B$2:$B$5,0))*$G147/SUMIFS($G:$G,$E:$E,$E147,$B:$B,$B147,AE:AE,1)*IF(B147=$B$10,0.9,1),0)</f>
        <v>4500</v>
      </c>
      <c r="AG147" s="24">
        <f t="shared" si="608"/>
        <v>1</v>
      </c>
      <c r="AH147" s="24">
        <f>ROUND(INDEX($C$2:$C$5,MATCH($E147,$B$2:$B$5,0))*$H147/SUMIFS($H:$H,$E:$E,$E147,$B:$B,$B147,AG:AG,1)*IF(B147=$B$10,0.9,1),0)</f>
        <v>4500</v>
      </c>
      <c r="AI147" s="24">
        <f t="shared" ref="AI147:AM147" si="609">IF($L147&lt;=AI$8,1,0)</f>
        <v>1</v>
      </c>
      <c r="AJ147" s="24">
        <f>ROUND(INDEX($C$2:$C$5,MATCH($E147,$B$2:$B$5,0))*$F147/SUMIFS($F:$F,$E:$E,$E147,$B:$B,$B147,AI:AI,1)*IF(B147=$B$10,0.9,1),0)</f>
        <v>4500</v>
      </c>
      <c r="AK147" s="24">
        <f t="shared" si="609"/>
        <v>1</v>
      </c>
      <c r="AL147" s="24">
        <f>ROUND(INDEX($C$2:$C$5,MATCH($E147,$B$2:$B$5,0))*$G147/SUMIFS($G:$G,$E:$E,$E147,$B:$B,$B147,AK:AK,1)*IF(B147=$B$10,0.9,1),0)</f>
        <v>4500</v>
      </c>
      <c r="AM147" s="24">
        <f t="shared" si="609"/>
        <v>1</v>
      </c>
      <c r="AN147" s="24">
        <f>ROUND(INDEX($C$2:$C$5,MATCH($E147,$B$2:$B$5,0))*$H147/SUMIFS($H:$H,$E:$E,$E147,$B:$B,$B147,AM:AM,1)*IF(B147=$B$10,0.9,1),0)</f>
        <v>4500</v>
      </c>
      <c r="AX147" s="4" t="str">
        <f t="shared" si="559"/>
        <v>1,4500</v>
      </c>
      <c r="AY147" s="4" t="str">
        <f t="shared" si="560"/>
        <v>1,4500</v>
      </c>
      <c r="AZ147" s="4" t="str">
        <f t="shared" si="561"/>
        <v>1,4500</v>
      </c>
      <c r="BA147" s="4" t="str">
        <f t="shared" si="562"/>
        <v>1,4500</v>
      </c>
      <c r="BB147" s="4" t="str">
        <f t="shared" si="563"/>
        <v>1,4500</v>
      </c>
      <c r="BC147" s="4" t="str">
        <f t="shared" si="564"/>
        <v>1,4500</v>
      </c>
      <c r="BD147" s="4" t="str">
        <f t="shared" si="565"/>
        <v>1,4500</v>
      </c>
      <c r="BE147" s="4" t="str">
        <f t="shared" si="566"/>
        <v>1,4500</v>
      </c>
      <c r="BF147" s="4" t="str">
        <f t="shared" si="567"/>
        <v>1,4500</v>
      </c>
      <c r="BG147" s="4" t="str">
        <f t="shared" si="568"/>
        <v>1,4500</v>
      </c>
      <c r="BH147" s="4" t="str">
        <f t="shared" si="569"/>
        <v>1,4500</v>
      </c>
      <c r="BI147" s="4" t="str">
        <f t="shared" si="570"/>
        <v>1,4500</v>
      </c>
      <c r="BJ147" s="4" t="str">
        <f t="shared" si="571"/>
        <v>1,4500</v>
      </c>
    </row>
    <row r="148" customHeight="1" spans="1:62">
      <c r="A148" s="35">
        <v>903</v>
      </c>
      <c r="B148" s="40" t="s">
        <v>81</v>
      </c>
      <c r="C148" s="40"/>
      <c r="D148" s="41" t="s">
        <v>361</v>
      </c>
      <c r="E148" s="43">
        <v>1</v>
      </c>
      <c r="F148" s="35">
        <v>1</v>
      </c>
      <c r="G148" s="35">
        <f t="shared" si="572"/>
        <v>1</v>
      </c>
      <c r="H148" s="35">
        <v>1</v>
      </c>
      <c r="I148" s="35">
        <v>1</v>
      </c>
      <c r="J148" s="35">
        <v>1</v>
      </c>
      <c r="K148" s="35">
        <v>1</v>
      </c>
      <c r="L148" s="35">
        <v>1</v>
      </c>
      <c r="M148" s="35"/>
      <c r="N148">
        <f t="shared" si="573"/>
        <v>13500</v>
      </c>
      <c r="O148" s="35">
        <v>1</v>
      </c>
      <c r="P148" s="24">
        <f>ROUND(INDEX($C$2:$C$5,MATCH($E148,$B$2:$B$5,0))*$F148/SUMIFS($F:$F,$E:$E,$E148,$B:$B,$B148,O:O,1)*IF(B148=$B$10,0.9,1),0)</f>
        <v>4500</v>
      </c>
      <c r="Q148" s="24">
        <f t="shared" ref="Q148:U148" si="610">IF($L148&lt;=Q$8,1,0)</f>
        <v>1</v>
      </c>
      <c r="R148" s="24">
        <f>ROUND(INDEX($C$2:$C$5,MATCH($E148,$B$2:$B$5,0))*$I148/SUMIFS($I:$I,$E:$E,$E148,$B:$B,$B148,Q:Q,1)*IF(B148=$B$10,0.9,1),0)</f>
        <v>4500</v>
      </c>
      <c r="S148" s="24">
        <f t="shared" si="610"/>
        <v>1</v>
      </c>
      <c r="T148" s="24">
        <f>ROUND(INDEX($C$2:$C$5,MATCH($E148,$B$2:$B$5,0))*$J148/SUMIFS($J:$J,$E:$E,$E148,$B:$B,$B148,S:S,1)*IF(B148=$B$10,0.9,1),0)</f>
        <v>4500</v>
      </c>
      <c r="U148" s="24">
        <f t="shared" si="610"/>
        <v>1</v>
      </c>
      <c r="V148" s="24">
        <f>ROUND(INDEX($C$2:$C$5,MATCH($E148,$B$2:$B$5,0))*$K148/SUMIFS($K:$K,$E:$E,$E148,$B:$B,$B148,U:U,1)*IF(B148=$B$10,0.9,1),0)</f>
        <v>4500</v>
      </c>
      <c r="W148" s="24">
        <f t="shared" ref="W148:AA148" si="611">IF($L148&lt;=W$8,1,0)</f>
        <v>1</v>
      </c>
      <c r="X148" s="24">
        <f>ROUND(INDEX($C$2:$C$5,MATCH($E148,$B$2:$B$5,0))*$F148/SUMIFS($F:$F,$E:$E,$E148,$B:$B,$B148,W:W,1)*IF(B148=$B$10,0.9,1),0)</f>
        <v>4500</v>
      </c>
      <c r="Y148" s="24">
        <f t="shared" si="611"/>
        <v>1</v>
      </c>
      <c r="Z148" s="24">
        <f>ROUND(INDEX($C$2:$C$5,MATCH($E148,$B$2:$B$5,0))*$G148/SUMIFS($G:$G,$E:$E,$E148,$B:$B,$B148,Y:Y,1)*IF(B148=$B$10,0.9,1),0)</f>
        <v>4500</v>
      </c>
      <c r="AA148" s="24">
        <f t="shared" si="611"/>
        <v>1</v>
      </c>
      <c r="AB148" s="24">
        <f>ROUND(INDEX($C$2:$C$5,MATCH($E148,$B$2:$B$5,0))*$H148/SUMIFS($H:$H,$E:$E,$E148,$B:$B,$B148,AA:AA,1)*IF(B148=$B$10,0.9,1),0)</f>
        <v>4500</v>
      </c>
      <c r="AC148" s="24">
        <f t="shared" ref="AC148:AG148" si="612">IF($L148&lt;=AC$8,1,0)</f>
        <v>1</v>
      </c>
      <c r="AD148" s="24">
        <f>ROUND(INDEX($C$2:$C$5,MATCH($E148,$B$2:$B$5,0))*$F148/SUMIFS($F:$F,$E:$E,$E148,$B:$B,$B148,AC:AC,1)*IF(B148=$B$10,0.9,1),0)</f>
        <v>4500</v>
      </c>
      <c r="AE148" s="24">
        <f t="shared" si="612"/>
        <v>1</v>
      </c>
      <c r="AF148" s="24">
        <f>ROUND(INDEX($C$2:$C$5,MATCH($E148,$B$2:$B$5,0))*$G148/SUMIFS($G:$G,$E:$E,$E148,$B:$B,$B148,AE:AE,1)*IF(B148=$B$10,0.9,1),0)</f>
        <v>4500</v>
      </c>
      <c r="AG148" s="24">
        <f t="shared" si="612"/>
        <v>1</v>
      </c>
      <c r="AH148" s="24">
        <f>ROUND(INDEX($C$2:$C$5,MATCH($E148,$B$2:$B$5,0))*$H148/SUMIFS($H:$H,$E:$E,$E148,$B:$B,$B148,AG:AG,1)*IF(B148=$B$10,0.9,1),0)</f>
        <v>4500</v>
      </c>
      <c r="AI148" s="24">
        <f t="shared" ref="AI148:AM148" si="613">IF($L148&lt;=AI$8,1,0)</f>
        <v>1</v>
      </c>
      <c r="AJ148" s="24">
        <f>ROUND(INDEX($C$2:$C$5,MATCH($E148,$B$2:$B$5,0))*$F148/SUMIFS($F:$F,$E:$E,$E148,$B:$B,$B148,AI:AI,1)*IF(B148=$B$10,0.9,1),0)</f>
        <v>4500</v>
      </c>
      <c r="AK148" s="24">
        <f t="shared" si="613"/>
        <v>1</v>
      </c>
      <c r="AL148" s="24">
        <f>ROUND(INDEX($C$2:$C$5,MATCH($E148,$B$2:$B$5,0))*$G148/SUMIFS($G:$G,$E:$E,$E148,$B:$B,$B148,AK:AK,1)*IF(B148=$B$10,0.9,1),0)</f>
        <v>4500</v>
      </c>
      <c r="AM148" s="24">
        <f t="shared" si="613"/>
        <v>1</v>
      </c>
      <c r="AN148" s="24">
        <f>ROUND(INDEX($C$2:$C$5,MATCH($E148,$B$2:$B$5,0))*$H148/SUMIFS($H:$H,$E:$E,$E148,$B:$B,$B148,AM:AM,1)*IF(B148=$B$10,0.9,1),0)</f>
        <v>4500</v>
      </c>
      <c r="AX148" s="4" t="str">
        <f t="shared" si="559"/>
        <v>1,4500</v>
      </c>
      <c r="AY148" s="4" t="str">
        <f t="shared" si="560"/>
        <v>1,4500</v>
      </c>
      <c r="AZ148" s="4" t="str">
        <f t="shared" si="561"/>
        <v>1,4500</v>
      </c>
      <c r="BA148" s="4" t="str">
        <f t="shared" si="562"/>
        <v>1,4500</v>
      </c>
      <c r="BB148" s="4" t="str">
        <f t="shared" si="563"/>
        <v>1,4500</v>
      </c>
      <c r="BC148" s="4" t="str">
        <f t="shared" si="564"/>
        <v>1,4500</v>
      </c>
      <c r="BD148" s="4" t="str">
        <f t="shared" si="565"/>
        <v>1,4500</v>
      </c>
      <c r="BE148" s="4" t="str">
        <f t="shared" si="566"/>
        <v>1,4500</v>
      </c>
      <c r="BF148" s="4" t="str">
        <f t="shared" si="567"/>
        <v>1,4500</v>
      </c>
      <c r="BG148" s="4" t="str">
        <f t="shared" si="568"/>
        <v>1,4500</v>
      </c>
      <c r="BH148" s="4" t="str">
        <f t="shared" si="569"/>
        <v>1,4500</v>
      </c>
      <c r="BI148" s="4" t="str">
        <f t="shared" si="570"/>
        <v>1,4500</v>
      </c>
      <c r="BJ148" s="4" t="str">
        <f t="shared" si="571"/>
        <v>1,4500</v>
      </c>
    </row>
    <row r="149" customHeight="1" spans="1:62">
      <c r="A149" s="35">
        <v>911</v>
      </c>
      <c r="B149" s="40" t="s">
        <v>81</v>
      </c>
      <c r="C149" s="40"/>
      <c r="D149" s="44" t="s">
        <v>362</v>
      </c>
      <c r="E149" s="43">
        <v>2</v>
      </c>
      <c r="F149" s="35">
        <v>1</v>
      </c>
      <c r="G149" s="35">
        <f t="shared" si="572"/>
        <v>1</v>
      </c>
      <c r="H149" s="35">
        <v>1</v>
      </c>
      <c r="I149" s="35">
        <v>1</v>
      </c>
      <c r="J149" s="35">
        <v>1</v>
      </c>
      <c r="K149" s="35">
        <v>1</v>
      </c>
      <c r="L149" s="35">
        <v>1</v>
      </c>
      <c r="M149" s="35" t="s">
        <v>136</v>
      </c>
      <c r="N149">
        <f t="shared" si="573"/>
        <v>4500</v>
      </c>
      <c r="O149" s="35">
        <v>1</v>
      </c>
      <c r="P149" s="24">
        <f>ROUND(INDEX($C$2:$C$5,MATCH($E149,$B$2:$B$5,0))*$F149/SUMIFS($F:$F,$E:$E,$E149,$B:$B,$B149,O:O,1)*IF(B149=$B$10,0.9,1),0)</f>
        <v>750</v>
      </c>
      <c r="Q149" s="24">
        <f t="shared" ref="Q149:U149" si="614">IF($L149&lt;=Q$8,1,0)</f>
        <v>1</v>
      </c>
      <c r="R149" s="24">
        <f>ROUND(INDEX($C$2:$C$5,MATCH($E149,$B$2:$B$5,0))*$I149/SUMIFS($I:$I,$E:$E,$E149,$B:$B,$B149,Q:Q,1)*IF(B149=$B$10,0.9,1),0)</f>
        <v>900</v>
      </c>
      <c r="S149" s="24">
        <f t="shared" si="614"/>
        <v>1</v>
      </c>
      <c r="T149" s="24">
        <f>ROUND(INDEX($C$2:$C$5,MATCH($E149,$B$2:$B$5,0))*$J149/SUMIFS($J:$J,$E:$E,$E149,$B:$B,$B149,S:S,1)*IF(B149=$B$10,0.9,1),0)</f>
        <v>900</v>
      </c>
      <c r="U149" s="24">
        <f t="shared" si="614"/>
        <v>1</v>
      </c>
      <c r="V149" s="24">
        <f>ROUND(INDEX($C$2:$C$5,MATCH($E149,$B$2:$B$5,0))*$K149/SUMIFS($K:$K,$E:$E,$E149,$B:$B,$B149,U:U,1)*IF(B149=$B$10,0.9,1),0)</f>
        <v>900</v>
      </c>
      <c r="W149" s="24">
        <f t="shared" ref="W149:AA149" si="615">IF($L149&lt;=W$8,1,0)</f>
        <v>1</v>
      </c>
      <c r="X149" s="24">
        <f>ROUND(INDEX($C$2:$C$5,MATCH($E149,$B$2:$B$5,0))*$F149/SUMIFS($F:$F,$E:$E,$E149,$B:$B,$B149,W:W,1)*IF(B149=$B$10,0.9,1),0)</f>
        <v>750</v>
      </c>
      <c r="Y149" s="24">
        <f t="shared" si="615"/>
        <v>1</v>
      </c>
      <c r="Z149" s="24">
        <f>ROUND(INDEX($C$2:$C$5,MATCH($E149,$B$2:$B$5,0))*$G149/SUMIFS($G:$G,$E:$E,$E149,$B:$B,$B149,Y:Y,1)*IF(B149=$B$10,0.9,1),0)</f>
        <v>750</v>
      </c>
      <c r="AA149" s="24">
        <f t="shared" si="615"/>
        <v>1</v>
      </c>
      <c r="AB149" s="24">
        <f>ROUND(INDEX($C$2:$C$5,MATCH($E149,$B$2:$B$5,0))*$H149/SUMIFS($H:$H,$E:$E,$E149,$B:$B,$B149,AA:AA,1)*IF(B149=$B$10,0.9,1),0)</f>
        <v>750</v>
      </c>
      <c r="AC149" s="24">
        <f t="shared" ref="AC149:AG149" si="616">IF($L149&lt;=AC$8,1,0)</f>
        <v>1</v>
      </c>
      <c r="AD149" s="24">
        <f>ROUND(INDEX($C$2:$C$5,MATCH($E149,$B$2:$B$5,0))*$F149/SUMIFS($F:$F,$E:$E,$E149,$B:$B,$B149,AC:AC,1)*IF(B149=$B$10,0.9,1),0)</f>
        <v>750</v>
      </c>
      <c r="AE149" s="24">
        <f t="shared" si="616"/>
        <v>1</v>
      </c>
      <c r="AF149" s="24">
        <f>ROUND(INDEX($C$2:$C$5,MATCH($E149,$B$2:$B$5,0))*$G149/SUMIFS($G:$G,$E:$E,$E149,$B:$B,$B149,AE:AE,1)*IF(B149=$B$10,0.9,1),0)</f>
        <v>750</v>
      </c>
      <c r="AG149" s="24">
        <f t="shared" si="616"/>
        <v>1</v>
      </c>
      <c r="AH149" s="24">
        <f>ROUND(INDEX($C$2:$C$5,MATCH($E149,$B$2:$B$5,0))*$H149/SUMIFS($H:$H,$E:$E,$E149,$B:$B,$B149,AG:AG,1)*IF(B149=$B$10,0.9,1),0)</f>
        <v>750</v>
      </c>
      <c r="AI149" s="24">
        <f t="shared" ref="AI149:AM149" si="617">IF($L149&lt;=AI$8,1,0)</f>
        <v>1</v>
      </c>
      <c r="AJ149" s="24">
        <f>ROUND(INDEX($C$2:$C$5,MATCH($E149,$B$2:$B$5,0))*$F149/SUMIFS($F:$F,$E:$E,$E149,$B:$B,$B149,AI:AI,1)*IF(B149=$B$10,0.9,1),0)</f>
        <v>750</v>
      </c>
      <c r="AK149" s="24">
        <f t="shared" si="617"/>
        <v>1</v>
      </c>
      <c r="AL149" s="24">
        <f>ROUND(INDEX($C$2:$C$5,MATCH($E149,$B$2:$B$5,0))*$G149/SUMIFS($G:$G,$E:$E,$E149,$B:$B,$B149,AK:AK,1)*IF(B149=$B$10,0.9,1),0)</f>
        <v>750</v>
      </c>
      <c r="AM149" s="24">
        <f t="shared" si="617"/>
        <v>1</v>
      </c>
      <c r="AN149" s="24">
        <f>ROUND(INDEX($C$2:$C$5,MATCH($E149,$B$2:$B$5,0))*$H149/SUMIFS($H:$H,$E:$E,$E149,$B:$B,$B149,AM:AM,1)*IF(B149=$B$10,0.9,1),0)</f>
        <v>750</v>
      </c>
      <c r="AX149" s="4" t="str">
        <f t="shared" si="559"/>
        <v>1,750</v>
      </c>
      <c r="AY149" s="4" t="str">
        <f t="shared" si="560"/>
        <v>1,900</v>
      </c>
      <c r="AZ149" s="4" t="str">
        <f t="shared" si="561"/>
        <v>1,900</v>
      </c>
      <c r="BA149" s="4" t="str">
        <f t="shared" si="562"/>
        <v>1,900</v>
      </c>
      <c r="BB149" s="4" t="str">
        <f t="shared" si="563"/>
        <v>1,750</v>
      </c>
      <c r="BC149" s="4" t="str">
        <f t="shared" si="564"/>
        <v>1,750</v>
      </c>
      <c r="BD149" s="4" t="str">
        <f t="shared" si="565"/>
        <v>1,750</v>
      </c>
      <c r="BE149" s="4" t="str">
        <f t="shared" si="566"/>
        <v>1,750</v>
      </c>
      <c r="BF149" s="4" t="str">
        <f t="shared" si="567"/>
        <v>1,750</v>
      </c>
      <c r="BG149" s="4" t="str">
        <f t="shared" si="568"/>
        <v>1,750</v>
      </c>
      <c r="BH149" s="4" t="str">
        <f t="shared" si="569"/>
        <v>1,750</v>
      </c>
      <c r="BI149" s="4" t="str">
        <f t="shared" si="570"/>
        <v>1,750</v>
      </c>
      <c r="BJ149" s="4" t="str">
        <f t="shared" si="571"/>
        <v>1,750</v>
      </c>
    </row>
    <row r="150" customHeight="1" spans="1:62">
      <c r="A150" s="35">
        <v>912</v>
      </c>
      <c r="B150" s="40" t="s">
        <v>81</v>
      </c>
      <c r="C150" s="40"/>
      <c r="D150" s="44" t="s">
        <v>363</v>
      </c>
      <c r="E150" s="45">
        <v>2</v>
      </c>
      <c r="F150" s="35">
        <v>1</v>
      </c>
      <c r="G150" s="35">
        <f t="shared" si="572"/>
        <v>1</v>
      </c>
      <c r="H150" s="35">
        <v>1</v>
      </c>
      <c r="I150" s="35">
        <v>1</v>
      </c>
      <c r="J150" s="35">
        <v>1</v>
      </c>
      <c r="K150" s="35">
        <v>1</v>
      </c>
      <c r="L150" s="35">
        <v>1</v>
      </c>
      <c r="M150" s="35"/>
      <c r="N150">
        <f t="shared" si="573"/>
        <v>4500</v>
      </c>
      <c r="O150" s="35">
        <v>1</v>
      </c>
      <c r="P150" s="24">
        <f>ROUND(INDEX($C$2:$C$5,MATCH($E150,$B$2:$B$5,0))*$F150/SUMIFS($F:$F,$E:$E,$E150,$B:$B,$B150,O:O,1)*IF(B150=$B$10,0.9,1),0)</f>
        <v>750</v>
      </c>
      <c r="Q150" s="24">
        <f t="shared" ref="Q150:U150" si="618">IF($L150&lt;=Q$8,1,0)</f>
        <v>1</v>
      </c>
      <c r="R150" s="24">
        <f>ROUND(INDEX($C$2:$C$5,MATCH($E150,$B$2:$B$5,0))*$I150/SUMIFS($I:$I,$E:$E,$E150,$B:$B,$B150,Q:Q,1)*IF(B150=$B$10,0.9,1),0)</f>
        <v>900</v>
      </c>
      <c r="S150" s="24">
        <f t="shared" si="618"/>
        <v>1</v>
      </c>
      <c r="T150" s="24">
        <f>ROUND(INDEX($C$2:$C$5,MATCH($E150,$B$2:$B$5,0))*$J150/SUMIFS($J:$J,$E:$E,$E150,$B:$B,$B150,S:S,1)*IF(B150=$B$10,0.9,1),0)</f>
        <v>900</v>
      </c>
      <c r="U150" s="24">
        <f t="shared" si="618"/>
        <v>1</v>
      </c>
      <c r="V150" s="24">
        <f>ROUND(INDEX($C$2:$C$5,MATCH($E150,$B$2:$B$5,0))*$K150/SUMIFS($K:$K,$E:$E,$E150,$B:$B,$B150,U:U,1)*IF(B150=$B$10,0.9,1),0)</f>
        <v>900</v>
      </c>
      <c r="W150" s="24">
        <f t="shared" ref="W150:AA150" si="619">IF($L150&lt;=W$8,1,0)</f>
        <v>1</v>
      </c>
      <c r="X150" s="24">
        <f>ROUND(INDEX($C$2:$C$5,MATCH($E150,$B$2:$B$5,0))*$F150/SUMIFS($F:$F,$E:$E,$E150,$B:$B,$B150,W:W,1)*IF(B150=$B$10,0.9,1),0)</f>
        <v>750</v>
      </c>
      <c r="Y150" s="24">
        <f t="shared" si="619"/>
        <v>1</v>
      </c>
      <c r="Z150" s="24">
        <f>ROUND(INDEX($C$2:$C$5,MATCH($E150,$B$2:$B$5,0))*$G150/SUMIFS($G:$G,$E:$E,$E150,$B:$B,$B150,Y:Y,1)*IF(B150=$B$10,0.9,1),0)</f>
        <v>750</v>
      </c>
      <c r="AA150" s="24">
        <f t="shared" si="619"/>
        <v>1</v>
      </c>
      <c r="AB150" s="24">
        <f>ROUND(INDEX($C$2:$C$5,MATCH($E150,$B$2:$B$5,0))*$H150/SUMIFS($H:$H,$E:$E,$E150,$B:$B,$B150,AA:AA,1)*IF(B150=$B$10,0.9,1),0)</f>
        <v>750</v>
      </c>
      <c r="AC150" s="24">
        <f t="shared" ref="AC150:AG150" si="620">IF($L150&lt;=AC$8,1,0)</f>
        <v>1</v>
      </c>
      <c r="AD150" s="24">
        <f>ROUND(INDEX($C$2:$C$5,MATCH($E150,$B$2:$B$5,0))*$F150/SUMIFS($F:$F,$E:$E,$E150,$B:$B,$B150,AC:AC,1)*IF(B150=$B$10,0.9,1),0)</f>
        <v>750</v>
      </c>
      <c r="AE150" s="24">
        <f t="shared" si="620"/>
        <v>1</v>
      </c>
      <c r="AF150" s="24">
        <f>ROUND(INDEX($C$2:$C$5,MATCH($E150,$B$2:$B$5,0))*$G150/SUMIFS($G:$G,$E:$E,$E150,$B:$B,$B150,AE:AE,1)*IF(B150=$B$10,0.9,1),0)</f>
        <v>750</v>
      </c>
      <c r="AG150" s="24">
        <f t="shared" si="620"/>
        <v>1</v>
      </c>
      <c r="AH150" s="24">
        <f>ROUND(INDEX($C$2:$C$5,MATCH($E150,$B$2:$B$5,0))*$H150/SUMIFS($H:$H,$E:$E,$E150,$B:$B,$B150,AG:AG,1)*IF(B150=$B$10,0.9,1),0)</f>
        <v>750</v>
      </c>
      <c r="AI150" s="24">
        <f t="shared" ref="AI150:AM150" si="621">IF($L150&lt;=AI$8,1,0)</f>
        <v>1</v>
      </c>
      <c r="AJ150" s="24">
        <f>ROUND(INDEX($C$2:$C$5,MATCH($E150,$B$2:$B$5,0))*$F150/SUMIFS($F:$F,$E:$E,$E150,$B:$B,$B150,AI:AI,1)*IF(B150=$B$10,0.9,1),0)</f>
        <v>750</v>
      </c>
      <c r="AK150" s="24">
        <f t="shared" si="621"/>
        <v>1</v>
      </c>
      <c r="AL150" s="24">
        <f>ROUND(INDEX($C$2:$C$5,MATCH($E150,$B$2:$B$5,0))*$G150/SUMIFS($G:$G,$E:$E,$E150,$B:$B,$B150,AK:AK,1)*IF(B150=$B$10,0.9,1),0)</f>
        <v>750</v>
      </c>
      <c r="AM150" s="24">
        <f t="shared" si="621"/>
        <v>1</v>
      </c>
      <c r="AN150" s="24">
        <f>ROUND(INDEX($C$2:$C$5,MATCH($E150,$B$2:$B$5,0))*$H150/SUMIFS($H:$H,$E:$E,$E150,$B:$B,$B150,AM:AM,1)*IF(B150=$B$10,0.9,1),0)</f>
        <v>750</v>
      </c>
      <c r="AX150" s="4" t="str">
        <f t="shared" si="559"/>
        <v>1,750</v>
      </c>
      <c r="AY150" s="4" t="str">
        <f t="shared" si="560"/>
        <v>1,900</v>
      </c>
      <c r="AZ150" s="4" t="str">
        <f t="shared" si="561"/>
        <v>1,900</v>
      </c>
      <c r="BA150" s="4" t="str">
        <f t="shared" si="562"/>
        <v>1,900</v>
      </c>
      <c r="BB150" s="4" t="str">
        <f t="shared" si="563"/>
        <v>1,750</v>
      </c>
      <c r="BC150" s="4" t="str">
        <f t="shared" si="564"/>
        <v>1,750</v>
      </c>
      <c r="BD150" s="4" t="str">
        <f t="shared" si="565"/>
        <v>1,750</v>
      </c>
      <c r="BE150" s="4" t="str">
        <f t="shared" si="566"/>
        <v>1,750</v>
      </c>
      <c r="BF150" s="4" t="str">
        <f t="shared" si="567"/>
        <v>1,750</v>
      </c>
      <c r="BG150" s="4" t="str">
        <f t="shared" si="568"/>
        <v>1,750</v>
      </c>
      <c r="BH150" s="4" t="str">
        <f t="shared" si="569"/>
        <v>1,750</v>
      </c>
      <c r="BI150" s="4" t="str">
        <f t="shared" si="570"/>
        <v>1,750</v>
      </c>
      <c r="BJ150" s="4" t="str">
        <f t="shared" si="571"/>
        <v>1,750</v>
      </c>
    </row>
    <row r="151" customHeight="1" spans="1:62">
      <c r="A151" s="35">
        <v>913</v>
      </c>
      <c r="B151" s="40" t="s">
        <v>81</v>
      </c>
      <c r="C151" s="40"/>
      <c r="D151" s="44" t="s">
        <v>364</v>
      </c>
      <c r="E151" s="45">
        <v>2</v>
      </c>
      <c r="F151" s="35">
        <v>1</v>
      </c>
      <c r="G151" s="35">
        <f t="shared" si="572"/>
        <v>1</v>
      </c>
      <c r="H151" s="35">
        <v>1</v>
      </c>
      <c r="I151" s="35">
        <v>1</v>
      </c>
      <c r="J151" s="35">
        <v>1</v>
      </c>
      <c r="K151" s="35">
        <v>1</v>
      </c>
      <c r="L151" s="35">
        <v>1</v>
      </c>
      <c r="M151" s="35"/>
      <c r="N151">
        <f t="shared" si="573"/>
        <v>4500</v>
      </c>
      <c r="O151" s="35">
        <v>1</v>
      </c>
      <c r="P151" s="24">
        <f>ROUND(INDEX($C$2:$C$5,MATCH($E151,$B$2:$B$5,0))*$F151/SUMIFS($F:$F,$E:$E,$E151,$B:$B,$B151,O:O,1)*IF(B151=$B$10,0.9,1),0)</f>
        <v>750</v>
      </c>
      <c r="Q151" s="24">
        <f t="shared" ref="Q151:U151" si="622">IF($L151&lt;=Q$8,1,0)</f>
        <v>1</v>
      </c>
      <c r="R151" s="24">
        <f>ROUND(INDEX($C$2:$C$5,MATCH($E151,$B$2:$B$5,0))*$I151/SUMIFS($I:$I,$E:$E,$E151,$B:$B,$B151,Q:Q,1)*IF(B151=$B$10,0.9,1),0)</f>
        <v>900</v>
      </c>
      <c r="S151" s="24">
        <f t="shared" si="622"/>
        <v>1</v>
      </c>
      <c r="T151" s="24">
        <f>ROUND(INDEX($C$2:$C$5,MATCH($E151,$B$2:$B$5,0))*$J151/SUMIFS($J:$J,$E:$E,$E151,$B:$B,$B151,S:S,1)*IF(B151=$B$10,0.9,1),0)</f>
        <v>900</v>
      </c>
      <c r="U151" s="24">
        <f t="shared" si="622"/>
        <v>1</v>
      </c>
      <c r="V151" s="24">
        <f>ROUND(INDEX($C$2:$C$5,MATCH($E151,$B$2:$B$5,0))*$K151/SUMIFS($K:$K,$E:$E,$E151,$B:$B,$B151,U:U,1)*IF(B151=$B$10,0.9,1),0)</f>
        <v>900</v>
      </c>
      <c r="W151" s="24">
        <f t="shared" ref="W151:AA151" si="623">IF($L151&lt;=W$8,1,0)</f>
        <v>1</v>
      </c>
      <c r="X151" s="24">
        <f>ROUND(INDEX($C$2:$C$5,MATCH($E151,$B$2:$B$5,0))*$F151/SUMIFS($F:$F,$E:$E,$E151,$B:$B,$B151,W:W,1)*IF(B151=$B$10,0.9,1),0)</f>
        <v>750</v>
      </c>
      <c r="Y151" s="24">
        <f t="shared" si="623"/>
        <v>1</v>
      </c>
      <c r="Z151" s="24">
        <f>ROUND(INDEX($C$2:$C$5,MATCH($E151,$B$2:$B$5,0))*$G151/SUMIFS($G:$G,$E:$E,$E151,$B:$B,$B151,Y:Y,1)*IF(B151=$B$10,0.9,1),0)</f>
        <v>750</v>
      </c>
      <c r="AA151" s="24">
        <f t="shared" si="623"/>
        <v>1</v>
      </c>
      <c r="AB151" s="24">
        <f>ROUND(INDEX($C$2:$C$5,MATCH($E151,$B$2:$B$5,0))*$H151/SUMIFS($H:$H,$E:$E,$E151,$B:$B,$B151,AA:AA,1)*IF(B151=$B$10,0.9,1),0)</f>
        <v>750</v>
      </c>
      <c r="AC151" s="24">
        <f t="shared" ref="AC151:AG151" si="624">IF($L151&lt;=AC$8,1,0)</f>
        <v>1</v>
      </c>
      <c r="AD151" s="24">
        <f>ROUND(INDEX($C$2:$C$5,MATCH($E151,$B$2:$B$5,0))*$F151/SUMIFS($F:$F,$E:$E,$E151,$B:$B,$B151,AC:AC,1)*IF(B151=$B$10,0.9,1),0)</f>
        <v>750</v>
      </c>
      <c r="AE151" s="24">
        <f t="shared" si="624"/>
        <v>1</v>
      </c>
      <c r="AF151" s="24">
        <f>ROUND(INDEX($C$2:$C$5,MATCH($E151,$B$2:$B$5,0))*$G151/SUMIFS($G:$G,$E:$E,$E151,$B:$B,$B151,AE:AE,1)*IF(B151=$B$10,0.9,1),0)</f>
        <v>750</v>
      </c>
      <c r="AG151" s="24">
        <f t="shared" si="624"/>
        <v>1</v>
      </c>
      <c r="AH151" s="24">
        <f>ROUND(INDEX($C$2:$C$5,MATCH($E151,$B$2:$B$5,0))*$H151/SUMIFS($H:$H,$E:$E,$E151,$B:$B,$B151,AG:AG,1)*IF(B151=$B$10,0.9,1),0)</f>
        <v>750</v>
      </c>
      <c r="AI151" s="24">
        <f t="shared" ref="AI151:AM151" si="625">IF($L151&lt;=AI$8,1,0)</f>
        <v>1</v>
      </c>
      <c r="AJ151" s="24">
        <f>ROUND(INDEX($C$2:$C$5,MATCH($E151,$B$2:$B$5,0))*$F151/SUMIFS($F:$F,$E:$E,$E151,$B:$B,$B151,AI:AI,1)*IF(B151=$B$10,0.9,1),0)</f>
        <v>750</v>
      </c>
      <c r="AK151" s="24">
        <f t="shared" si="625"/>
        <v>1</v>
      </c>
      <c r="AL151" s="24">
        <f>ROUND(INDEX($C$2:$C$5,MATCH($E151,$B$2:$B$5,0))*$G151/SUMIFS($G:$G,$E:$E,$E151,$B:$B,$B151,AK:AK,1)*IF(B151=$B$10,0.9,1),0)</f>
        <v>750</v>
      </c>
      <c r="AM151" s="24">
        <f t="shared" si="625"/>
        <v>1</v>
      </c>
      <c r="AN151" s="24">
        <f>ROUND(INDEX($C$2:$C$5,MATCH($E151,$B$2:$B$5,0))*$H151/SUMIFS($H:$H,$E:$E,$E151,$B:$B,$B151,AM:AM,1)*IF(B151=$B$10,0.9,1),0)</f>
        <v>750</v>
      </c>
      <c r="AX151" s="4" t="str">
        <f t="shared" si="559"/>
        <v>1,750</v>
      </c>
      <c r="AY151" s="4" t="str">
        <f t="shared" si="560"/>
        <v>1,900</v>
      </c>
      <c r="AZ151" s="4" t="str">
        <f t="shared" si="561"/>
        <v>1,900</v>
      </c>
      <c r="BA151" s="4" t="str">
        <f t="shared" si="562"/>
        <v>1,900</v>
      </c>
      <c r="BB151" s="4" t="str">
        <f t="shared" si="563"/>
        <v>1,750</v>
      </c>
      <c r="BC151" s="4" t="str">
        <f t="shared" si="564"/>
        <v>1,750</v>
      </c>
      <c r="BD151" s="4" t="str">
        <f t="shared" si="565"/>
        <v>1,750</v>
      </c>
      <c r="BE151" s="4" t="str">
        <f t="shared" si="566"/>
        <v>1,750</v>
      </c>
      <c r="BF151" s="4" t="str">
        <f t="shared" si="567"/>
        <v>1,750</v>
      </c>
      <c r="BG151" s="4" t="str">
        <f t="shared" si="568"/>
        <v>1,750</v>
      </c>
      <c r="BH151" s="4" t="str">
        <f t="shared" si="569"/>
        <v>1,750</v>
      </c>
      <c r="BI151" s="4" t="str">
        <f t="shared" si="570"/>
        <v>1,750</v>
      </c>
      <c r="BJ151" s="4" t="str">
        <f t="shared" si="571"/>
        <v>1,750</v>
      </c>
    </row>
    <row r="152" customHeight="1" spans="1:62">
      <c r="A152" s="35">
        <v>914</v>
      </c>
      <c r="B152" s="40" t="s">
        <v>81</v>
      </c>
      <c r="C152" s="40" t="s">
        <v>218</v>
      </c>
      <c r="D152" s="44" t="s">
        <v>365</v>
      </c>
      <c r="E152" s="43">
        <v>2</v>
      </c>
      <c r="F152" s="35">
        <v>1</v>
      </c>
      <c r="G152" s="35">
        <f t="shared" si="572"/>
        <v>1</v>
      </c>
      <c r="H152" s="35">
        <v>1</v>
      </c>
      <c r="I152" s="35">
        <v>1</v>
      </c>
      <c r="J152" s="35">
        <v>1</v>
      </c>
      <c r="K152" s="35">
        <v>1</v>
      </c>
      <c r="L152" s="35">
        <v>1</v>
      </c>
      <c r="M152" s="35" t="s">
        <v>136</v>
      </c>
      <c r="N152">
        <f t="shared" si="573"/>
        <v>4500</v>
      </c>
      <c r="O152" s="35">
        <v>1</v>
      </c>
      <c r="P152" s="24">
        <f>ROUND(INDEX($C$2:$C$5,MATCH($E152,$B$2:$B$5,0))*$F152/SUMIFS($F:$F,$E:$E,$E152,$B:$B,$B152,O:O,1)*IF(B152=$B$10,0.9,1),0)</f>
        <v>750</v>
      </c>
      <c r="Q152" s="24">
        <f t="shared" ref="Q152:U152" si="626">IF($L152&lt;=Q$8,1,0)</f>
        <v>1</v>
      </c>
      <c r="R152" s="24">
        <f>ROUND(INDEX($C$2:$C$5,MATCH($E152,$B$2:$B$5,0))*$I152/SUMIFS($I:$I,$E:$E,$E152,$B:$B,$B152,Q:Q,1)*IF(B152=$B$10,0.9,1),0)</f>
        <v>900</v>
      </c>
      <c r="S152" s="24">
        <f t="shared" si="626"/>
        <v>1</v>
      </c>
      <c r="T152" s="24">
        <f>ROUND(INDEX($C$2:$C$5,MATCH($E152,$B$2:$B$5,0))*$J152/SUMIFS($J:$J,$E:$E,$E152,$B:$B,$B152,S:S,1)*IF(B152=$B$10,0.9,1),0)</f>
        <v>900</v>
      </c>
      <c r="U152" s="24">
        <f t="shared" si="626"/>
        <v>1</v>
      </c>
      <c r="V152" s="24">
        <f>ROUND(INDEX($C$2:$C$5,MATCH($E152,$B$2:$B$5,0))*$K152/SUMIFS($K:$K,$E:$E,$E152,$B:$B,$B152,U:U,1)*IF(B152=$B$10,0.9,1),0)</f>
        <v>900</v>
      </c>
      <c r="W152" s="24">
        <f t="shared" ref="W152:AA152" si="627">IF($L152&lt;=W$8,1,0)</f>
        <v>1</v>
      </c>
      <c r="X152" s="24">
        <f>ROUND(INDEX($C$2:$C$5,MATCH($E152,$B$2:$B$5,0))*$F152/SUMIFS($F:$F,$E:$E,$E152,$B:$B,$B152,W:W,1)*IF(B152=$B$10,0.9,1),0)</f>
        <v>750</v>
      </c>
      <c r="Y152" s="24">
        <f t="shared" si="627"/>
        <v>1</v>
      </c>
      <c r="Z152" s="24">
        <f>ROUND(INDEX($C$2:$C$5,MATCH($E152,$B$2:$B$5,0))*$G152/SUMIFS($G:$G,$E:$E,$E152,$B:$B,$B152,Y:Y,1)*IF(B152=$B$10,0.9,1),0)</f>
        <v>750</v>
      </c>
      <c r="AA152" s="24">
        <f t="shared" si="627"/>
        <v>1</v>
      </c>
      <c r="AB152" s="24">
        <f>ROUND(INDEX($C$2:$C$5,MATCH($E152,$B$2:$B$5,0))*$H152/SUMIFS($H:$H,$E:$E,$E152,$B:$B,$B152,AA:AA,1)*IF(B152=$B$10,0.9,1),0)</f>
        <v>750</v>
      </c>
      <c r="AC152" s="24">
        <f t="shared" ref="AC152:AG152" si="628">IF($L152&lt;=AC$8,1,0)</f>
        <v>1</v>
      </c>
      <c r="AD152" s="24">
        <f>ROUND(INDEX($C$2:$C$5,MATCH($E152,$B$2:$B$5,0))*$F152/SUMIFS($F:$F,$E:$E,$E152,$B:$B,$B152,AC:AC,1)*IF(B152=$B$10,0.9,1),0)</f>
        <v>750</v>
      </c>
      <c r="AE152" s="24">
        <f t="shared" si="628"/>
        <v>1</v>
      </c>
      <c r="AF152" s="24">
        <f>ROUND(INDEX($C$2:$C$5,MATCH($E152,$B$2:$B$5,0))*$G152/SUMIFS($G:$G,$E:$E,$E152,$B:$B,$B152,AE:AE,1)*IF(B152=$B$10,0.9,1),0)</f>
        <v>750</v>
      </c>
      <c r="AG152" s="24">
        <f t="shared" si="628"/>
        <v>1</v>
      </c>
      <c r="AH152" s="24">
        <f>ROUND(INDEX($C$2:$C$5,MATCH($E152,$B$2:$B$5,0))*$H152/SUMIFS($H:$H,$E:$E,$E152,$B:$B,$B152,AG:AG,1)*IF(B152=$B$10,0.9,1),0)</f>
        <v>750</v>
      </c>
      <c r="AI152" s="24">
        <f t="shared" ref="AI152:AM152" si="629">IF($L152&lt;=AI$8,1,0)</f>
        <v>1</v>
      </c>
      <c r="AJ152" s="24">
        <f>ROUND(INDEX($C$2:$C$5,MATCH($E152,$B$2:$B$5,0))*$F152/SUMIFS($F:$F,$E:$E,$E152,$B:$B,$B152,AI:AI,1)*IF(B152=$B$10,0.9,1),0)</f>
        <v>750</v>
      </c>
      <c r="AK152" s="24">
        <f t="shared" si="629"/>
        <v>1</v>
      </c>
      <c r="AL152" s="24">
        <f>ROUND(INDEX($C$2:$C$5,MATCH($E152,$B$2:$B$5,0))*$G152/SUMIFS($G:$G,$E:$E,$E152,$B:$B,$B152,AK:AK,1)*IF(B152=$B$10,0.9,1),0)</f>
        <v>750</v>
      </c>
      <c r="AM152" s="24">
        <f t="shared" si="629"/>
        <v>1</v>
      </c>
      <c r="AN152" s="24">
        <f>ROUND(INDEX($C$2:$C$5,MATCH($E152,$B$2:$B$5,0))*$H152/SUMIFS($H:$H,$E:$E,$E152,$B:$B,$B152,AM:AM,1)*IF(B152=$B$10,0.9,1),0)</f>
        <v>750</v>
      </c>
      <c r="AX152" s="4" t="str">
        <f t="shared" si="559"/>
        <v>1,750</v>
      </c>
      <c r="AY152" s="4" t="str">
        <f t="shared" si="560"/>
        <v>1,900</v>
      </c>
      <c r="AZ152" s="4" t="str">
        <f t="shared" si="561"/>
        <v>1,900</v>
      </c>
      <c r="BA152" s="4" t="str">
        <f t="shared" si="562"/>
        <v>1,900</v>
      </c>
      <c r="BB152" s="4" t="str">
        <f t="shared" si="563"/>
        <v>1,750</v>
      </c>
      <c r="BC152" s="4" t="str">
        <f t="shared" si="564"/>
        <v>1,750</v>
      </c>
      <c r="BD152" s="4" t="str">
        <f t="shared" si="565"/>
        <v>1,750</v>
      </c>
      <c r="BE152" s="4" t="str">
        <f t="shared" si="566"/>
        <v>1,750</v>
      </c>
      <c r="BF152" s="4" t="str">
        <f t="shared" si="567"/>
        <v>1,750</v>
      </c>
      <c r="BG152" s="4" t="str">
        <f t="shared" si="568"/>
        <v>1,750</v>
      </c>
      <c r="BH152" s="4" t="str">
        <f t="shared" si="569"/>
        <v>1,750</v>
      </c>
      <c r="BI152" s="4" t="str">
        <f t="shared" si="570"/>
        <v>1,750</v>
      </c>
      <c r="BJ152" s="4" t="str">
        <f t="shared" si="571"/>
        <v>1,750</v>
      </c>
    </row>
    <row r="153" customHeight="1" spans="1:62">
      <c r="A153" s="35">
        <v>921</v>
      </c>
      <c r="B153" s="40" t="s">
        <v>81</v>
      </c>
      <c r="C153" s="40" t="s">
        <v>218</v>
      </c>
      <c r="D153" s="46" t="s">
        <v>366</v>
      </c>
      <c r="E153" s="45">
        <v>3</v>
      </c>
      <c r="F153" s="35">
        <v>1</v>
      </c>
      <c r="G153" s="35">
        <f t="shared" si="572"/>
        <v>1</v>
      </c>
      <c r="H153" s="35">
        <v>1</v>
      </c>
      <c r="I153" s="35">
        <v>1</v>
      </c>
      <c r="J153" s="35">
        <v>1</v>
      </c>
      <c r="K153" s="35">
        <v>1</v>
      </c>
      <c r="L153" s="35">
        <v>1</v>
      </c>
      <c r="M153" s="35" t="s">
        <v>136</v>
      </c>
      <c r="N153">
        <f t="shared" si="573"/>
        <v>1500</v>
      </c>
      <c r="O153" s="35">
        <v>1</v>
      </c>
      <c r="P153" s="24">
        <f>ROUND(INDEX($C$2:$C$5,MATCH($E153,$B$2:$B$5,0))*$F153/SUMIFS($F:$F,$E:$E,$E153,$B:$B,$B153,O:O,1)*IF(B153=$B$10,0.9,1),0)</f>
        <v>250</v>
      </c>
      <c r="Q153" s="24">
        <f t="shared" ref="Q153:U153" si="630">IF($L153&lt;=Q$8,1,0)</f>
        <v>1</v>
      </c>
      <c r="R153" s="24">
        <f>ROUND(INDEX($C$2:$C$5,MATCH($E153,$B$2:$B$5,0))*$I153/SUMIFS($I:$I,$E:$E,$E153,$B:$B,$B153,Q:Q,1)*IF(B153=$B$10,0.9,1),0)</f>
        <v>300</v>
      </c>
      <c r="S153" s="24">
        <f t="shared" si="630"/>
        <v>1</v>
      </c>
      <c r="T153" s="24">
        <f>ROUND(INDEX($C$2:$C$5,MATCH($E153,$B$2:$B$5,0))*$J153/SUMIFS($J:$J,$E:$E,$E153,$B:$B,$B153,S:S,1)*IF(B153=$B$10,0.9,1),0)</f>
        <v>300</v>
      </c>
      <c r="U153" s="24">
        <f t="shared" si="630"/>
        <v>1</v>
      </c>
      <c r="V153" s="24">
        <f>ROUND(INDEX($C$2:$C$5,MATCH($E153,$B$2:$B$5,0))*$K153/SUMIFS($K:$K,$E:$E,$E153,$B:$B,$B153,U:U,1)*IF(B153=$B$10,0.9,1),0)</f>
        <v>300</v>
      </c>
      <c r="W153" s="24">
        <f t="shared" ref="W153:AA153" si="631">IF($L153&lt;=W$8,1,0)</f>
        <v>1</v>
      </c>
      <c r="X153" s="24">
        <f>ROUND(INDEX($C$2:$C$5,MATCH($E153,$B$2:$B$5,0))*$F153/SUMIFS($F:$F,$E:$E,$E153,$B:$B,$B153,W:W,1)*IF(B153=$B$10,0.9,1),0)</f>
        <v>250</v>
      </c>
      <c r="Y153" s="24">
        <f t="shared" si="631"/>
        <v>1</v>
      </c>
      <c r="Z153" s="24">
        <f>ROUND(INDEX($C$2:$C$5,MATCH($E153,$B$2:$B$5,0))*$G153/SUMIFS($G:$G,$E:$E,$E153,$B:$B,$B153,Y:Y,1)*IF(B153=$B$10,0.9,1),0)</f>
        <v>250</v>
      </c>
      <c r="AA153" s="24">
        <f t="shared" si="631"/>
        <v>1</v>
      </c>
      <c r="AB153" s="24">
        <f>ROUND(INDEX($C$2:$C$5,MATCH($E153,$B$2:$B$5,0))*$H153/SUMIFS($H:$H,$E:$E,$E153,$B:$B,$B153,AA:AA,1)*IF(B153=$B$10,0.9,1),0)</f>
        <v>250</v>
      </c>
      <c r="AC153" s="24">
        <f t="shared" ref="AC153:AG153" si="632">IF($L153&lt;=AC$8,1,0)</f>
        <v>1</v>
      </c>
      <c r="AD153" s="24">
        <f>ROUND(INDEX($C$2:$C$5,MATCH($E153,$B$2:$B$5,0))*$F153/SUMIFS($F:$F,$E:$E,$E153,$B:$B,$B153,AC:AC,1)*IF(B153=$B$10,0.9,1),0)</f>
        <v>250</v>
      </c>
      <c r="AE153" s="24">
        <f t="shared" si="632"/>
        <v>1</v>
      </c>
      <c r="AF153" s="24">
        <f>ROUND(INDEX($C$2:$C$5,MATCH($E153,$B$2:$B$5,0))*$G153/SUMIFS($G:$G,$E:$E,$E153,$B:$B,$B153,AE:AE,1)*IF(B153=$B$10,0.9,1),0)</f>
        <v>250</v>
      </c>
      <c r="AG153" s="24">
        <f t="shared" si="632"/>
        <v>1</v>
      </c>
      <c r="AH153" s="24">
        <f>ROUND(INDEX($C$2:$C$5,MATCH($E153,$B$2:$B$5,0))*$H153/SUMIFS($H:$H,$E:$E,$E153,$B:$B,$B153,AG:AG,1)*IF(B153=$B$10,0.9,1),0)</f>
        <v>250</v>
      </c>
      <c r="AI153" s="24">
        <f t="shared" ref="AI153:AM153" si="633">IF($L153&lt;=AI$8,1,0)</f>
        <v>1</v>
      </c>
      <c r="AJ153" s="24">
        <f>ROUND(INDEX($C$2:$C$5,MATCH($E153,$B$2:$B$5,0))*$F153/SUMIFS($F:$F,$E:$E,$E153,$B:$B,$B153,AI:AI,1)*IF(B153=$B$10,0.9,1),0)</f>
        <v>250</v>
      </c>
      <c r="AK153" s="24">
        <f t="shared" si="633"/>
        <v>1</v>
      </c>
      <c r="AL153" s="24">
        <f>ROUND(INDEX($C$2:$C$5,MATCH($E153,$B$2:$B$5,0))*$G153/SUMIFS($G:$G,$E:$E,$E153,$B:$B,$B153,AK:AK,1)*IF(B153=$B$10,0.9,1),0)</f>
        <v>250</v>
      </c>
      <c r="AM153" s="24">
        <f t="shared" si="633"/>
        <v>1</v>
      </c>
      <c r="AN153" s="24">
        <f>ROUND(INDEX($C$2:$C$5,MATCH($E153,$B$2:$B$5,0))*$H153/SUMIFS($H:$H,$E:$E,$E153,$B:$B,$B153,AM:AM,1)*IF(B153=$B$10,0.9,1),0)</f>
        <v>250</v>
      </c>
      <c r="AX153" s="4" t="str">
        <f t="shared" si="559"/>
        <v>1,250</v>
      </c>
      <c r="AY153" s="4" t="str">
        <f t="shared" si="560"/>
        <v>1,300</v>
      </c>
      <c r="AZ153" s="4" t="str">
        <f t="shared" si="561"/>
        <v>1,300</v>
      </c>
      <c r="BA153" s="4" t="str">
        <f t="shared" si="562"/>
        <v>1,300</v>
      </c>
      <c r="BB153" s="4" t="str">
        <f t="shared" si="563"/>
        <v>1,250</v>
      </c>
      <c r="BC153" s="4" t="str">
        <f t="shared" si="564"/>
        <v>1,250</v>
      </c>
      <c r="BD153" s="4" t="str">
        <f t="shared" si="565"/>
        <v>1,250</v>
      </c>
      <c r="BE153" s="4" t="str">
        <f t="shared" si="566"/>
        <v>1,250</v>
      </c>
      <c r="BF153" s="4" t="str">
        <f t="shared" si="567"/>
        <v>1,250</v>
      </c>
      <c r="BG153" s="4" t="str">
        <f t="shared" si="568"/>
        <v>1,250</v>
      </c>
      <c r="BH153" s="4" t="str">
        <f t="shared" si="569"/>
        <v>1,250</v>
      </c>
      <c r="BI153" s="4" t="str">
        <f t="shared" si="570"/>
        <v>1,250</v>
      </c>
      <c r="BJ153" s="4" t="str">
        <f t="shared" si="571"/>
        <v>1,250</v>
      </c>
    </row>
    <row r="154" customHeight="1" spans="1:62">
      <c r="A154" s="35">
        <v>922</v>
      </c>
      <c r="B154" s="40" t="s">
        <v>81</v>
      </c>
      <c r="C154" s="40" t="s">
        <v>218</v>
      </c>
      <c r="D154" s="46" t="s">
        <v>367</v>
      </c>
      <c r="E154" s="45">
        <v>3</v>
      </c>
      <c r="F154" s="35">
        <v>1</v>
      </c>
      <c r="G154" s="35">
        <f t="shared" si="572"/>
        <v>1</v>
      </c>
      <c r="H154" s="35">
        <v>1</v>
      </c>
      <c r="I154" s="35">
        <v>1</v>
      </c>
      <c r="J154" s="35">
        <v>1</v>
      </c>
      <c r="K154" s="35">
        <v>1</v>
      </c>
      <c r="L154" s="35">
        <v>1</v>
      </c>
      <c r="M154" s="35"/>
      <c r="N154">
        <f t="shared" si="573"/>
        <v>1500</v>
      </c>
      <c r="O154" s="35">
        <v>1</v>
      </c>
      <c r="P154" s="24">
        <f>ROUND(INDEX($C$2:$C$5,MATCH($E154,$B$2:$B$5,0))*$F154/SUMIFS($F:$F,$E:$E,$E154,$B:$B,$B154,O:O,1)*IF(B154=$B$10,0.9,1),0)</f>
        <v>250</v>
      </c>
      <c r="Q154" s="24">
        <f t="shared" ref="Q154:U154" si="634">IF($L154&lt;=Q$8,1,0)</f>
        <v>1</v>
      </c>
      <c r="R154" s="24">
        <f>ROUND(INDEX($C$2:$C$5,MATCH($E154,$B$2:$B$5,0))*$I154/SUMIFS($I:$I,$E:$E,$E154,$B:$B,$B154,Q:Q,1)*IF(B154=$B$10,0.9,1),0)</f>
        <v>300</v>
      </c>
      <c r="S154" s="24">
        <f t="shared" si="634"/>
        <v>1</v>
      </c>
      <c r="T154" s="24">
        <f>ROUND(INDEX($C$2:$C$5,MATCH($E154,$B$2:$B$5,0))*$J154/SUMIFS($J:$J,$E:$E,$E154,$B:$B,$B154,S:S,1)*IF(B154=$B$10,0.9,1),0)</f>
        <v>300</v>
      </c>
      <c r="U154" s="24">
        <f t="shared" si="634"/>
        <v>1</v>
      </c>
      <c r="V154" s="24">
        <f>ROUND(INDEX($C$2:$C$5,MATCH($E154,$B$2:$B$5,0))*$K154/SUMIFS($K:$K,$E:$E,$E154,$B:$B,$B154,U:U,1)*IF(B154=$B$10,0.9,1),0)</f>
        <v>300</v>
      </c>
      <c r="W154" s="24">
        <f t="shared" ref="W154:AA154" si="635">IF($L154&lt;=W$8,1,0)</f>
        <v>1</v>
      </c>
      <c r="X154" s="24">
        <f>ROUND(INDEX($C$2:$C$5,MATCH($E154,$B$2:$B$5,0))*$F154/SUMIFS($F:$F,$E:$E,$E154,$B:$B,$B154,W:W,1)*IF(B154=$B$10,0.9,1),0)</f>
        <v>250</v>
      </c>
      <c r="Y154" s="24">
        <f t="shared" si="635"/>
        <v>1</v>
      </c>
      <c r="Z154" s="24">
        <f>ROUND(INDEX($C$2:$C$5,MATCH($E154,$B$2:$B$5,0))*$G154/SUMIFS($G:$G,$E:$E,$E154,$B:$B,$B154,Y:Y,1)*IF(B154=$B$10,0.9,1),0)</f>
        <v>250</v>
      </c>
      <c r="AA154" s="24">
        <f t="shared" si="635"/>
        <v>1</v>
      </c>
      <c r="AB154" s="24">
        <f>ROUND(INDEX($C$2:$C$5,MATCH($E154,$B$2:$B$5,0))*$H154/SUMIFS($H:$H,$E:$E,$E154,$B:$B,$B154,AA:AA,1)*IF(B154=$B$10,0.9,1),0)</f>
        <v>250</v>
      </c>
      <c r="AC154" s="24">
        <f t="shared" ref="AC154:AG154" si="636">IF($L154&lt;=AC$8,1,0)</f>
        <v>1</v>
      </c>
      <c r="AD154" s="24">
        <f>ROUND(INDEX($C$2:$C$5,MATCH($E154,$B$2:$B$5,0))*$F154/SUMIFS($F:$F,$E:$E,$E154,$B:$B,$B154,AC:AC,1)*IF(B154=$B$10,0.9,1),0)</f>
        <v>250</v>
      </c>
      <c r="AE154" s="24">
        <f t="shared" si="636"/>
        <v>1</v>
      </c>
      <c r="AF154" s="24">
        <f>ROUND(INDEX($C$2:$C$5,MATCH($E154,$B$2:$B$5,0))*$G154/SUMIFS($G:$G,$E:$E,$E154,$B:$B,$B154,AE:AE,1)*IF(B154=$B$10,0.9,1),0)</f>
        <v>250</v>
      </c>
      <c r="AG154" s="24">
        <f t="shared" si="636"/>
        <v>1</v>
      </c>
      <c r="AH154" s="24">
        <f>ROUND(INDEX($C$2:$C$5,MATCH($E154,$B$2:$B$5,0))*$H154/SUMIFS($H:$H,$E:$E,$E154,$B:$B,$B154,AG:AG,1)*IF(B154=$B$10,0.9,1),0)</f>
        <v>250</v>
      </c>
      <c r="AI154" s="24">
        <f t="shared" ref="AI154:AM154" si="637">IF($L154&lt;=AI$8,1,0)</f>
        <v>1</v>
      </c>
      <c r="AJ154" s="24">
        <f>ROUND(INDEX($C$2:$C$5,MATCH($E154,$B$2:$B$5,0))*$F154/SUMIFS($F:$F,$E:$E,$E154,$B:$B,$B154,AI:AI,1)*IF(B154=$B$10,0.9,1),0)</f>
        <v>250</v>
      </c>
      <c r="AK154" s="24">
        <f t="shared" si="637"/>
        <v>1</v>
      </c>
      <c r="AL154" s="24">
        <f>ROUND(INDEX($C$2:$C$5,MATCH($E154,$B$2:$B$5,0))*$G154/SUMIFS($G:$G,$E:$E,$E154,$B:$B,$B154,AK:AK,1)*IF(B154=$B$10,0.9,1),0)</f>
        <v>250</v>
      </c>
      <c r="AM154" s="24">
        <f t="shared" si="637"/>
        <v>1</v>
      </c>
      <c r="AN154" s="24">
        <f>ROUND(INDEX($C$2:$C$5,MATCH($E154,$B$2:$B$5,0))*$H154/SUMIFS($H:$H,$E:$E,$E154,$B:$B,$B154,AM:AM,1)*IF(B154=$B$10,0.9,1),0)</f>
        <v>250</v>
      </c>
      <c r="AX154" s="4" t="str">
        <f t="shared" si="559"/>
        <v>1,250</v>
      </c>
      <c r="AY154" s="4" t="str">
        <f t="shared" si="560"/>
        <v>1,300</v>
      </c>
      <c r="AZ154" s="4" t="str">
        <f t="shared" si="561"/>
        <v>1,300</v>
      </c>
      <c r="BA154" s="4" t="str">
        <f t="shared" si="562"/>
        <v>1,300</v>
      </c>
      <c r="BB154" s="4" t="str">
        <f t="shared" si="563"/>
        <v>1,250</v>
      </c>
      <c r="BC154" s="4" t="str">
        <f t="shared" si="564"/>
        <v>1,250</v>
      </c>
      <c r="BD154" s="4" t="str">
        <f t="shared" si="565"/>
        <v>1,250</v>
      </c>
      <c r="BE154" s="4" t="str">
        <f t="shared" si="566"/>
        <v>1,250</v>
      </c>
      <c r="BF154" s="4" t="str">
        <f t="shared" si="567"/>
        <v>1,250</v>
      </c>
      <c r="BG154" s="4" t="str">
        <f t="shared" si="568"/>
        <v>1,250</v>
      </c>
      <c r="BH154" s="4" t="str">
        <f t="shared" si="569"/>
        <v>1,250</v>
      </c>
      <c r="BI154" s="4" t="str">
        <f t="shared" si="570"/>
        <v>1,250</v>
      </c>
      <c r="BJ154" s="4" t="str">
        <f t="shared" si="571"/>
        <v>1,250</v>
      </c>
    </row>
    <row r="155" customHeight="1" spans="1:62">
      <c r="A155" s="35">
        <v>923</v>
      </c>
      <c r="B155" s="40" t="s">
        <v>81</v>
      </c>
      <c r="C155" s="40" t="s">
        <v>218</v>
      </c>
      <c r="D155" s="46" t="s">
        <v>368</v>
      </c>
      <c r="E155" s="45">
        <v>3</v>
      </c>
      <c r="F155" s="35">
        <v>1</v>
      </c>
      <c r="G155" s="35">
        <f t="shared" si="572"/>
        <v>1</v>
      </c>
      <c r="H155" s="35">
        <v>1</v>
      </c>
      <c r="I155" s="35">
        <v>1</v>
      </c>
      <c r="J155" s="35">
        <v>1</v>
      </c>
      <c r="K155" s="35">
        <v>1</v>
      </c>
      <c r="L155" s="35">
        <v>1</v>
      </c>
      <c r="M155" s="35"/>
      <c r="N155">
        <f t="shared" si="573"/>
        <v>1500</v>
      </c>
      <c r="O155" s="35">
        <v>1</v>
      </c>
      <c r="P155" s="24">
        <f>ROUND(INDEX($C$2:$C$5,MATCH($E155,$B$2:$B$5,0))*$F155/SUMIFS($F:$F,$E:$E,$E155,$B:$B,$B155,O:O,1)*IF(B155=$B$10,0.9,1),0)</f>
        <v>250</v>
      </c>
      <c r="Q155" s="24">
        <f t="shared" ref="Q155:U155" si="638">IF($L155&lt;=Q$8,1,0)</f>
        <v>1</v>
      </c>
      <c r="R155" s="24">
        <f>ROUND(INDEX($C$2:$C$5,MATCH($E155,$B$2:$B$5,0))*$I155/SUMIFS($I:$I,$E:$E,$E155,$B:$B,$B155,Q:Q,1)*IF(B155=$B$10,0.9,1),0)</f>
        <v>300</v>
      </c>
      <c r="S155" s="24">
        <f t="shared" si="638"/>
        <v>1</v>
      </c>
      <c r="T155" s="24">
        <f>ROUND(INDEX($C$2:$C$5,MATCH($E155,$B$2:$B$5,0))*$J155/SUMIFS($J:$J,$E:$E,$E155,$B:$B,$B155,S:S,1)*IF(B155=$B$10,0.9,1),0)</f>
        <v>300</v>
      </c>
      <c r="U155" s="24">
        <f t="shared" si="638"/>
        <v>1</v>
      </c>
      <c r="V155" s="24">
        <f>ROUND(INDEX($C$2:$C$5,MATCH($E155,$B$2:$B$5,0))*$K155/SUMIFS($K:$K,$E:$E,$E155,$B:$B,$B155,U:U,1)*IF(B155=$B$10,0.9,1),0)</f>
        <v>300</v>
      </c>
      <c r="W155" s="24">
        <f t="shared" ref="W155:AA155" si="639">IF($L155&lt;=W$8,1,0)</f>
        <v>1</v>
      </c>
      <c r="X155" s="24">
        <f>ROUND(INDEX($C$2:$C$5,MATCH($E155,$B$2:$B$5,0))*$F155/SUMIFS($F:$F,$E:$E,$E155,$B:$B,$B155,W:W,1)*IF(B155=$B$10,0.9,1),0)</f>
        <v>250</v>
      </c>
      <c r="Y155" s="24">
        <f t="shared" si="639"/>
        <v>1</v>
      </c>
      <c r="Z155" s="24">
        <f>ROUND(INDEX($C$2:$C$5,MATCH($E155,$B$2:$B$5,0))*$G155/SUMIFS($G:$G,$E:$E,$E155,$B:$B,$B155,Y:Y,1)*IF(B155=$B$10,0.9,1),0)</f>
        <v>250</v>
      </c>
      <c r="AA155" s="24">
        <f t="shared" si="639"/>
        <v>1</v>
      </c>
      <c r="AB155" s="24">
        <f>ROUND(INDEX($C$2:$C$5,MATCH($E155,$B$2:$B$5,0))*$H155/SUMIFS($H:$H,$E:$E,$E155,$B:$B,$B155,AA:AA,1)*IF(B155=$B$10,0.9,1),0)</f>
        <v>250</v>
      </c>
      <c r="AC155" s="24">
        <f t="shared" ref="AC155:AG155" si="640">IF($L155&lt;=AC$8,1,0)</f>
        <v>1</v>
      </c>
      <c r="AD155" s="24">
        <f>ROUND(INDEX($C$2:$C$5,MATCH($E155,$B$2:$B$5,0))*$F155/SUMIFS($F:$F,$E:$E,$E155,$B:$B,$B155,AC:AC,1)*IF(B155=$B$10,0.9,1),0)</f>
        <v>250</v>
      </c>
      <c r="AE155" s="24">
        <f t="shared" si="640"/>
        <v>1</v>
      </c>
      <c r="AF155" s="24">
        <f>ROUND(INDEX($C$2:$C$5,MATCH($E155,$B$2:$B$5,0))*$G155/SUMIFS($G:$G,$E:$E,$E155,$B:$B,$B155,AE:AE,1)*IF(B155=$B$10,0.9,1),0)</f>
        <v>250</v>
      </c>
      <c r="AG155" s="24">
        <f t="shared" si="640"/>
        <v>1</v>
      </c>
      <c r="AH155" s="24">
        <f>ROUND(INDEX($C$2:$C$5,MATCH($E155,$B$2:$B$5,0))*$H155/SUMIFS($H:$H,$E:$E,$E155,$B:$B,$B155,AG:AG,1)*IF(B155=$B$10,0.9,1),0)</f>
        <v>250</v>
      </c>
      <c r="AI155" s="24">
        <f t="shared" ref="AI155:AM155" si="641">IF($L155&lt;=AI$8,1,0)</f>
        <v>1</v>
      </c>
      <c r="AJ155" s="24">
        <f>ROUND(INDEX($C$2:$C$5,MATCH($E155,$B$2:$B$5,0))*$F155/SUMIFS($F:$F,$E:$E,$E155,$B:$B,$B155,AI:AI,1)*IF(B155=$B$10,0.9,1),0)</f>
        <v>250</v>
      </c>
      <c r="AK155" s="24">
        <f t="shared" si="641"/>
        <v>1</v>
      </c>
      <c r="AL155" s="24">
        <f>ROUND(INDEX($C$2:$C$5,MATCH($E155,$B$2:$B$5,0))*$G155/SUMIFS($G:$G,$E:$E,$E155,$B:$B,$B155,AK:AK,1)*IF(B155=$B$10,0.9,1),0)</f>
        <v>250</v>
      </c>
      <c r="AM155" s="24">
        <f t="shared" si="641"/>
        <v>1</v>
      </c>
      <c r="AN155" s="24">
        <f>ROUND(INDEX($C$2:$C$5,MATCH($E155,$B$2:$B$5,0))*$H155/SUMIFS($H:$H,$E:$E,$E155,$B:$B,$B155,AM:AM,1)*IF(B155=$B$10,0.9,1),0)</f>
        <v>250</v>
      </c>
      <c r="AX155" s="4" t="str">
        <f t="shared" si="559"/>
        <v>1,250</v>
      </c>
      <c r="AY155" s="4" t="str">
        <f t="shared" si="560"/>
        <v>1,300</v>
      </c>
      <c r="AZ155" s="4" t="str">
        <f t="shared" si="561"/>
        <v>1,300</v>
      </c>
      <c r="BA155" s="4" t="str">
        <f t="shared" si="562"/>
        <v>1,300</v>
      </c>
      <c r="BB155" s="4" t="str">
        <f t="shared" si="563"/>
        <v>1,250</v>
      </c>
      <c r="BC155" s="4" t="str">
        <f t="shared" si="564"/>
        <v>1,250</v>
      </c>
      <c r="BD155" s="4" t="str">
        <f t="shared" si="565"/>
        <v>1,250</v>
      </c>
      <c r="BE155" s="4" t="str">
        <f t="shared" si="566"/>
        <v>1,250</v>
      </c>
      <c r="BF155" s="4" t="str">
        <f t="shared" si="567"/>
        <v>1,250</v>
      </c>
      <c r="BG155" s="4" t="str">
        <f t="shared" si="568"/>
        <v>1,250</v>
      </c>
      <c r="BH155" s="4" t="str">
        <f t="shared" si="569"/>
        <v>1,250</v>
      </c>
      <c r="BI155" s="4" t="str">
        <f t="shared" si="570"/>
        <v>1,250</v>
      </c>
      <c r="BJ155" s="4" t="str">
        <f t="shared" si="571"/>
        <v>1,250</v>
      </c>
    </row>
    <row r="156" customHeight="1" spans="1:62">
      <c r="A156" s="35">
        <v>924</v>
      </c>
      <c r="B156" s="40" t="s">
        <v>81</v>
      </c>
      <c r="C156" s="40" t="s">
        <v>218</v>
      </c>
      <c r="D156" s="46" t="s">
        <v>369</v>
      </c>
      <c r="E156" s="50">
        <v>3</v>
      </c>
      <c r="F156" s="35">
        <v>1</v>
      </c>
      <c r="G156" s="35">
        <f t="shared" si="572"/>
        <v>1</v>
      </c>
      <c r="H156" s="35">
        <v>1</v>
      </c>
      <c r="I156" s="35">
        <v>1</v>
      </c>
      <c r="J156" s="35">
        <v>1</v>
      </c>
      <c r="K156" s="35">
        <v>1</v>
      </c>
      <c r="L156" s="35">
        <v>1</v>
      </c>
      <c r="M156" s="35"/>
      <c r="N156">
        <f t="shared" si="573"/>
        <v>1500</v>
      </c>
      <c r="O156" s="35">
        <v>1</v>
      </c>
      <c r="P156" s="24">
        <f>ROUND(INDEX($C$2:$C$5,MATCH($E156,$B$2:$B$5,0))*$F156/SUMIFS($F:$F,$E:$E,$E156,$B:$B,$B156,O:O,1)*IF(B156=$B$10,0.9,1),0)</f>
        <v>250</v>
      </c>
      <c r="Q156" s="24">
        <f t="shared" ref="Q156:U156" si="642">IF($L156&lt;=Q$8,1,0)</f>
        <v>1</v>
      </c>
      <c r="R156" s="24">
        <f>ROUND(INDEX($C$2:$C$5,MATCH($E156,$B$2:$B$5,0))*$I156/SUMIFS($I:$I,$E:$E,$E156,$B:$B,$B156,Q:Q,1)*IF(B156=$B$10,0.9,1),0)</f>
        <v>300</v>
      </c>
      <c r="S156" s="24">
        <f t="shared" si="642"/>
        <v>1</v>
      </c>
      <c r="T156" s="24">
        <f>ROUND(INDEX($C$2:$C$5,MATCH($E156,$B$2:$B$5,0))*$J156/SUMIFS($J:$J,$E:$E,$E156,$B:$B,$B156,S:S,1)*IF(B156=$B$10,0.9,1),0)</f>
        <v>300</v>
      </c>
      <c r="U156" s="24">
        <f t="shared" si="642"/>
        <v>1</v>
      </c>
      <c r="V156" s="24">
        <f>ROUND(INDEX($C$2:$C$5,MATCH($E156,$B$2:$B$5,0))*$K156/SUMIFS($K:$K,$E:$E,$E156,$B:$B,$B156,U:U,1)*IF(B156=$B$10,0.9,1),0)</f>
        <v>300</v>
      </c>
      <c r="W156" s="24">
        <f t="shared" ref="W156:AA156" si="643">IF($L156&lt;=W$8,1,0)</f>
        <v>1</v>
      </c>
      <c r="X156" s="24">
        <f>ROUND(INDEX($C$2:$C$5,MATCH($E156,$B$2:$B$5,0))*$F156/SUMIFS($F:$F,$E:$E,$E156,$B:$B,$B156,W:W,1)*IF(B156=$B$10,0.9,1),0)</f>
        <v>250</v>
      </c>
      <c r="Y156" s="24">
        <f t="shared" si="643"/>
        <v>1</v>
      </c>
      <c r="Z156" s="24">
        <f>ROUND(INDEX($C$2:$C$5,MATCH($E156,$B$2:$B$5,0))*$G156/SUMIFS($G:$G,$E:$E,$E156,$B:$B,$B156,Y:Y,1)*IF(B156=$B$10,0.9,1),0)</f>
        <v>250</v>
      </c>
      <c r="AA156" s="24">
        <f t="shared" si="643"/>
        <v>1</v>
      </c>
      <c r="AB156" s="24">
        <f>ROUND(INDEX($C$2:$C$5,MATCH($E156,$B$2:$B$5,0))*$H156/SUMIFS($H:$H,$E:$E,$E156,$B:$B,$B156,AA:AA,1)*IF(B156=$B$10,0.9,1),0)</f>
        <v>250</v>
      </c>
      <c r="AC156" s="24">
        <f t="shared" ref="AC156:AG156" si="644">IF($L156&lt;=AC$8,1,0)</f>
        <v>1</v>
      </c>
      <c r="AD156" s="24">
        <f>ROUND(INDEX($C$2:$C$5,MATCH($E156,$B$2:$B$5,0))*$F156/SUMIFS($F:$F,$E:$E,$E156,$B:$B,$B156,AC:AC,1)*IF(B156=$B$10,0.9,1),0)</f>
        <v>250</v>
      </c>
      <c r="AE156" s="24">
        <f t="shared" si="644"/>
        <v>1</v>
      </c>
      <c r="AF156" s="24">
        <f>ROUND(INDEX($C$2:$C$5,MATCH($E156,$B$2:$B$5,0))*$G156/SUMIFS($G:$G,$E:$E,$E156,$B:$B,$B156,AE:AE,1)*IF(B156=$B$10,0.9,1),0)</f>
        <v>250</v>
      </c>
      <c r="AG156" s="24">
        <f t="shared" si="644"/>
        <v>1</v>
      </c>
      <c r="AH156" s="24">
        <f>ROUND(INDEX($C$2:$C$5,MATCH($E156,$B$2:$B$5,0))*$H156/SUMIFS($H:$H,$E:$E,$E156,$B:$B,$B156,AG:AG,1)*IF(B156=$B$10,0.9,1),0)</f>
        <v>250</v>
      </c>
      <c r="AI156" s="24">
        <f t="shared" ref="AI156:AM156" si="645">IF($L156&lt;=AI$8,1,0)</f>
        <v>1</v>
      </c>
      <c r="AJ156" s="24">
        <f>ROUND(INDEX($C$2:$C$5,MATCH($E156,$B$2:$B$5,0))*$F156/SUMIFS($F:$F,$E:$E,$E156,$B:$B,$B156,AI:AI,1)*IF(B156=$B$10,0.9,1),0)</f>
        <v>250</v>
      </c>
      <c r="AK156" s="24">
        <f t="shared" si="645"/>
        <v>1</v>
      </c>
      <c r="AL156" s="24">
        <f>ROUND(INDEX($C$2:$C$5,MATCH($E156,$B$2:$B$5,0))*$G156/SUMIFS($G:$G,$E:$E,$E156,$B:$B,$B156,AK:AK,1)*IF(B156=$B$10,0.9,1),0)</f>
        <v>250</v>
      </c>
      <c r="AM156" s="24">
        <f t="shared" si="645"/>
        <v>1</v>
      </c>
      <c r="AN156" s="24">
        <f>ROUND(INDEX($C$2:$C$5,MATCH($E156,$B$2:$B$5,0))*$H156/SUMIFS($H:$H,$E:$E,$E156,$B:$B,$B156,AM:AM,1)*IF(B156=$B$10,0.9,1),0)</f>
        <v>250</v>
      </c>
      <c r="AX156" s="4" t="str">
        <f t="shared" si="559"/>
        <v>1,250</v>
      </c>
      <c r="AY156" s="4" t="str">
        <f t="shared" si="560"/>
        <v>1,300</v>
      </c>
      <c r="AZ156" s="4" t="str">
        <f t="shared" si="561"/>
        <v>1,300</v>
      </c>
      <c r="BA156" s="4" t="str">
        <f t="shared" si="562"/>
        <v>1,300</v>
      </c>
      <c r="BB156" s="4" t="str">
        <f t="shared" si="563"/>
        <v>1,250</v>
      </c>
      <c r="BC156" s="4" t="str">
        <f t="shared" si="564"/>
        <v>1,250</v>
      </c>
      <c r="BD156" s="4" t="str">
        <f t="shared" si="565"/>
        <v>1,250</v>
      </c>
      <c r="BE156" s="4" t="str">
        <f t="shared" si="566"/>
        <v>1,250</v>
      </c>
      <c r="BF156" s="4" t="str">
        <f t="shared" si="567"/>
        <v>1,250</v>
      </c>
      <c r="BG156" s="4" t="str">
        <f t="shared" si="568"/>
        <v>1,250</v>
      </c>
      <c r="BH156" s="4" t="str">
        <f t="shared" si="569"/>
        <v>1,250</v>
      </c>
      <c r="BI156" s="4" t="str">
        <f t="shared" si="570"/>
        <v>1,250</v>
      </c>
      <c r="BJ156" s="4" t="str">
        <f t="shared" si="571"/>
        <v>1,250</v>
      </c>
    </row>
    <row r="157" customHeight="1" spans="1:62">
      <c r="A157" s="35">
        <v>931</v>
      </c>
      <c r="B157" s="40" t="s">
        <v>81</v>
      </c>
      <c r="C157" s="40" t="s">
        <v>218</v>
      </c>
      <c r="D157" s="44" t="s">
        <v>24</v>
      </c>
      <c r="E157" s="50">
        <v>2</v>
      </c>
      <c r="F157" s="35">
        <v>1</v>
      </c>
      <c r="G157" s="35">
        <f t="shared" si="572"/>
        <v>1</v>
      </c>
      <c r="H157" s="35">
        <v>1</v>
      </c>
      <c r="I157" s="35">
        <v>1</v>
      </c>
      <c r="J157" s="35">
        <v>1</v>
      </c>
      <c r="K157" s="35">
        <v>1</v>
      </c>
      <c r="L157" s="35">
        <v>2</v>
      </c>
      <c r="M157" s="35"/>
      <c r="N157">
        <f t="shared" si="573"/>
        <v>4500</v>
      </c>
      <c r="O157" s="35">
        <v>1</v>
      </c>
      <c r="P157" s="24">
        <f>ROUND(INDEX($C$2:$C$5,MATCH($E157,$B$2:$B$5,0))*$F157/SUMIFS($F:$F,$E:$E,$E157,$B:$B,$B157,O:O,1)*IF(B157=$B$10,0.9,1),0)</f>
        <v>750</v>
      </c>
      <c r="Q157" s="24">
        <f t="shared" ref="Q157:U157" si="646">IF($L157&lt;=Q$8,1,0)</f>
        <v>0</v>
      </c>
      <c r="R157" s="24">
        <f>ROUND(INDEX($C$2:$C$5,MATCH($E157,$B$2:$B$5,0))*$I157/SUMIFS($I:$I,$E:$E,$E157,$B:$B,$B157,Q:Q,1)*IF(B157=$B$10,0.9,1),0)</f>
        <v>900</v>
      </c>
      <c r="S157" s="24">
        <f t="shared" si="646"/>
        <v>0</v>
      </c>
      <c r="T157" s="24">
        <f>ROUND(INDEX($C$2:$C$5,MATCH($E157,$B$2:$B$5,0))*$J157/SUMIFS($J:$J,$E:$E,$E157,$B:$B,$B157,S:S,1)*IF(B157=$B$10,0.9,1),0)</f>
        <v>900</v>
      </c>
      <c r="U157" s="24">
        <f t="shared" si="646"/>
        <v>0</v>
      </c>
      <c r="V157" s="24">
        <f>ROUND(INDEX($C$2:$C$5,MATCH($E157,$B$2:$B$5,0))*$K157/SUMIFS($K:$K,$E:$E,$E157,$B:$B,$B157,U:U,1)*IF(B157=$B$10,0.9,1),0)</f>
        <v>900</v>
      </c>
      <c r="W157" s="24">
        <f t="shared" ref="W157:AA157" si="647">IF($L157&lt;=W$8,1,0)</f>
        <v>1</v>
      </c>
      <c r="X157" s="24">
        <f>ROUND(INDEX($C$2:$C$5,MATCH($E157,$B$2:$B$5,0))*$F157/SUMIFS($F:$F,$E:$E,$E157,$B:$B,$B157,W:W,1)*IF(B157=$B$10,0.9,1),0)</f>
        <v>750</v>
      </c>
      <c r="Y157" s="24">
        <f t="shared" si="647"/>
        <v>1</v>
      </c>
      <c r="Z157" s="24">
        <f>ROUND(INDEX($C$2:$C$5,MATCH($E157,$B$2:$B$5,0))*$G157/SUMIFS($G:$G,$E:$E,$E157,$B:$B,$B157,Y:Y,1)*IF(B157=$B$10,0.9,1),0)</f>
        <v>750</v>
      </c>
      <c r="AA157" s="24">
        <f t="shared" si="647"/>
        <v>1</v>
      </c>
      <c r="AB157" s="24">
        <f>ROUND(INDEX($C$2:$C$5,MATCH($E157,$B$2:$B$5,0))*$H157/SUMIFS($H:$H,$E:$E,$E157,$B:$B,$B157,AA:AA,1)*IF(B157=$B$10,0.9,1),0)</f>
        <v>750</v>
      </c>
      <c r="AC157" s="24">
        <f t="shared" ref="AC157:AG157" si="648">IF($L157&lt;=AC$8,1,0)</f>
        <v>1</v>
      </c>
      <c r="AD157" s="24">
        <f>ROUND(INDEX($C$2:$C$5,MATCH($E157,$B$2:$B$5,0))*$F157/SUMIFS($F:$F,$E:$E,$E157,$B:$B,$B157,AC:AC,1)*IF(B157=$B$10,0.9,1),0)</f>
        <v>750</v>
      </c>
      <c r="AE157" s="24">
        <f t="shared" si="648"/>
        <v>1</v>
      </c>
      <c r="AF157" s="24">
        <f>ROUND(INDEX($C$2:$C$5,MATCH($E157,$B$2:$B$5,0))*$G157/SUMIFS($G:$G,$E:$E,$E157,$B:$B,$B157,AE:AE,1)*IF(B157=$B$10,0.9,1),0)</f>
        <v>750</v>
      </c>
      <c r="AG157" s="24">
        <f t="shared" si="648"/>
        <v>1</v>
      </c>
      <c r="AH157" s="24">
        <f>ROUND(INDEX($C$2:$C$5,MATCH($E157,$B$2:$B$5,0))*$H157/SUMIFS($H:$H,$E:$E,$E157,$B:$B,$B157,AG:AG,1)*IF(B157=$B$10,0.9,1),0)</f>
        <v>750</v>
      </c>
      <c r="AI157" s="24">
        <f t="shared" ref="AI157:AM157" si="649">IF($L157&lt;=AI$8,1,0)</f>
        <v>1</v>
      </c>
      <c r="AJ157" s="24">
        <f>ROUND(INDEX($C$2:$C$5,MATCH($E157,$B$2:$B$5,0))*$F157/SUMIFS($F:$F,$E:$E,$E157,$B:$B,$B157,AI:AI,1)*IF(B157=$B$10,0.9,1),0)</f>
        <v>750</v>
      </c>
      <c r="AK157" s="24">
        <f t="shared" si="649"/>
        <v>1</v>
      </c>
      <c r="AL157" s="24">
        <f>ROUND(INDEX($C$2:$C$5,MATCH($E157,$B$2:$B$5,0))*$G157/SUMIFS($G:$G,$E:$E,$E157,$B:$B,$B157,AK:AK,1)*IF(B157=$B$10,0.9,1),0)</f>
        <v>750</v>
      </c>
      <c r="AM157" s="24">
        <f t="shared" si="649"/>
        <v>1</v>
      </c>
      <c r="AN157" s="24">
        <f>ROUND(INDEX($C$2:$C$5,MATCH($E157,$B$2:$B$5,0))*$H157/SUMIFS($H:$H,$E:$E,$E157,$B:$B,$B157,AM:AM,1)*IF(B157=$B$10,0.9,1),0)</f>
        <v>750</v>
      </c>
      <c r="AX157" s="4" t="str">
        <f t="shared" si="559"/>
        <v>1,750</v>
      </c>
      <c r="AY157" s="4" t="str">
        <f t="shared" si="560"/>
        <v>0,900</v>
      </c>
      <c r="AZ157" s="4" t="str">
        <f t="shared" si="561"/>
        <v>0,900</v>
      </c>
      <c r="BA157" s="4" t="str">
        <f t="shared" si="562"/>
        <v>0,900</v>
      </c>
      <c r="BB157" s="4" t="str">
        <f t="shared" si="563"/>
        <v>1,750</v>
      </c>
      <c r="BC157" s="4" t="str">
        <f t="shared" si="564"/>
        <v>1,750</v>
      </c>
      <c r="BD157" s="4" t="str">
        <f t="shared" si="565"/>
        <v>1,750</v>
      </c>
      <c r="BE157" s="4" t="str">
        <f t="shared" si="566"/>
        <v>1,750</v>
      </c>
      <c r="BF157" s="4" t="str">
        <f t="shared" si="567"/>
        <v>1,750</v>
      </c>
      <c r="BG157" s="4" t="str">
        <f t="shared" si="568"/>
        <v>1,750</v>
      </c>
      <c r="BH157" s="4" t="str">
        <f t="shared" si="569"/>
        <v>1,750</v>
      </c>
      <c r="BI157" s="4" t="str">
        <f t="shared" si="570"/>
        <v>1,750</v>
      </c>
      <c r="BJ157" s="4" t="str">
        <f t="shared" si="571"/>
        <v>1,750</v>
      </c>
    </row>
    <row r="158" customHeight="1" spans="1:62">
      <c r="A158" s="35">
        <v>932</v>
      </c>
      <c r="B158" s="40" t="s">
        <v>81</v>
      </c>
      <c r="C158" s="40"/>
      <c r="D158" s="44" t="s">
        <v>381</v>
      </c>
      <c r="E158" s="35">
        <v>2</v>
      </c>
      <c r="F158" s="35">
        <v>1</v>
      </c>
      <c r="G158" s="35">
        <f t="shared" si="572"/>
        <v>1</v>
      </c>
      <c r="H158" s="35">
        <v>1</v>
      </c>
      <c r="I158" s="35">
        <v>1</v>
      </c>
      <c r="J158" s="35">
        <v>1</v>
      </c>
      <c r="K158" s="35">
        <v>1</v>
      </c>
      <c r="L158" s="35">
        <v>1</v>
      </c>
      <c r="M158" s="35"/>
      <c r="N158">
        <f t="shared" si="573"/>
        <v>4500</v>
      </c>
      <c r="O158" s="35">
        <v>1</v>
      </c>
      <c r="P158" s="24">
        <f>ROUND(INDEX($C$2:$C$5,MATCH($E158,$B$2:$B$5,0))*$F158/SUMIFS($F:$F,$E:$E,$E158,$B:$B,$B158,O:O,1)*IF(B158=$B$10,0.9,1),0)</f>
        <v>750</v>
      </c>
      <c r="Q158" s="24">
        <f t="shared" ref="Q158:U158" si="650">IF($L158&lt;=Q$8,1,0)</f>
        <v>1</v>
      </c>
      <c r="R158" s="24">
        <f>ROUND(INDEX($C$2:$C$5,MATCH($E158,$B$2:$B$5,0))*$I158/SUMIFS($I:$I,$E:$E,$E158,$B:$B,$B158,Q:Q,1)*IF(B158=$B$10,0.9,1),0)</f>
        <v>900</v>
      </c>
      <c r="S158" s="24">
        <f t="shared" si="650"/>
        <v>1</v>
      </c>
      <c r="T158" s="24">
        <f>ROUND(INDEX($C$2:$C$5,MATCH($E158,$B$2:$B$5,0))*$J158/SUMIFS($J:$J,$E:$E,$E158,$B:$B,$B158,S:S,1)*IF(B158=$B$10,0.9,1),0)</f>
        <v>900</v>
      </c>
      <c r="U158" s="24">
        <f t="shared" si="650"/>
        <v>1</v>
      </c>
      <c r="V158" s="24">
        <f>ROUND(INDEX($C$2:$C$5,MATCH($E158,$B$2:$B$5,0))*$K158/SUMIFS($K:$K,$E:$E,$E158,$B:$B,$B158,U:U,1)*IF(B158=$B$10,0.9,1),0)</f>
        <v>900</v>
      </c>
      <c r="W158" s="24">
        <f t="shared" ref="W158:AA158" si="651">IF($L158&lt;=W$8,1,0)</f>
        <v>1</v>
      </c>
      <c r="X158" s="24">
        <f>ROUND(INDEX($C$2:$C$5,MATCH($E158,$B$2:$B$5,0))*$F158/SUMIFS($F:$F,$E:$E,$E158,$B:$B,$B158,W:W,1)*IF(B158=$B$10,0.9,1),0)</f>
        <v>750</v>
      </c>
      <c r="Y158" s="24">
        <f t="shared" si="651"/>
        <v>1</v>
      </c>
      <c r="Z158" s="24">
        <f>ROUND(INDEX($C$2:$C$5,MATCH($E158,$B$2:$B$5,0))*$G158/SUMIFS($G:$G,$E:$E,$E158,$B:$B,$B158,Y:Y,1)*IF(B158=$B$10,0.9,1),0)</f>
        <v>750</v>
      </c>
      <c r="AA158" s="24">
        <f t="shared" si="651"/>
        <v>1</v>
      </c>
      <c r="AB158" s="24">
        <f>ROUND(INDEX($C$2:$C$5,MATCH($E158,$B$2:$B$5,0))*$H158/SUMIFS($H:$H,$E:$E,$E158,$B:$B,$B158,AA:AA,1)*IF(B158=$B$10,0.9,1),0)</f>
        <v>750</v>
      </c>
      <c r="AC158" s="24">
        <f t="shared" ref="AC158:AG158" si="652">IF($L158&lt;=AC$8,1,0)</f>
        <v>1</v>
      </c>
      <c r="AD158" s="24">
        <f>ROUND(INDEX($C$2:$C$5,MATCH($E158,$B$2:$B$5,0))*$F158/SUMIFS($F:$F,$E:$E,$E158,$B:$B,$B158,AC:AC,1)*IF(B158=$B$10,0.9,1),0)</f>
        <v>750</v>
      </c>
      <c r="AE158" s="24">
        <f t="shared" si="652"/>
        <v>1</v>
      </c>
      <c r="AF158" s="24">
        <f>ROUND(INDEX($C$2:$C$5,MATCH($E158,$B$2:$B$5,0))*$G158/SUMIFS($G:$G,$E:$E,$E158,$B:$B,$B158,AE:AE,1)*IF(B158=$B$10,0.9,1),0)</f>
        <v>750</v>
      </c>
      <c r="AG158" s="24">
        <f t="shared" si="652"/>
        <v>1</v>
      </c>
      <c r="AH158" s="24">
        <f>ROUND(INDEX($C$2:$C$5,MATCH($E158,$B$2:$B$5,0))*$H158/SUMIFS($H:$H,$E:$E,$E158,$B:$B,$B158,AG:AG,1)*IF(B158=$B$10,0.9,1),0)</f>
        <v>750</v>
      </c>
      <c r="AI158" s="24">
        <f t="shared" ref="AI158:AM158" si="653">IF($L158&lt;=AI$8,1,0)</f>
        <v>1</v>
      </c>
      <c r="AJ158" s="24">
        <f>ROUND(INDEX($C$2:$C$5,MATCH($E158,$B$2:$B$5,0))*$F158/SUMIFS($F:$F,$E:$E,$E158,$B:$B,$B158,AI:AI,1)*IF(B158=$B$10,0.9,1),0)</f>
        <v>750</v>
      </c>
      <c r="AK158" s="24">
        <f t="shared" si="653"/>
        <v>1</v>
      </c>
      <c r="AL158" s="24">
        <f>ROUND(INDEX($C$2:$C$5,MATCH($E158,$B$2:$B$5,0))*$G158/SUMIFS($G:$G,$E:$E,$E158,$B:$B,$B158,AK:AK,1)*IF(B158=$B$10,0.9,1),0)</f>
        <v>750</v>
      </c>
      <c r="AM158" s="24">
        <f t="shared" si="653"/>
        <v>1</v>
      </c>
      <c r="AN158" s="24">
        <f>ROUND(INDEX($C$2:$C$5,MATCH($E158,$B$2:$B$5,0))*$H158/SUMIFS($H:$H,$E:$E,$E158,$B:$B,$B158,AM:AM,1)*IF(B158=$B$10,0.9,1),0)</f>
        <v>750</v>
      </c>
      <c r="AX158" s="4" t="str">
        <f t="shared" si="559"/>
        <v>1,750</v>
      </c>
      <c r="AY158" s="4" t="str">
        <f t="shared" si="560"/>
        <v>1,900</v>
      </c>
      <c r="AZ158" s="4" t="str">
        <f t="shared" si="561"/>
        <v>1,900</v>
      </c>
      <c r="BA158" s="4" t="str">
        <f t="shared" si="562"/>
        <v>1,900</v>
      </c>
      <c r="BB158" s="4" t="str">
        <f t="shared" si="563"/>
        <v>1,750</v>
      </c>
      <c r="BC158" s="4" t="str">
        <f t="shared" si="564"/>
        <v>1,750</v>
      </c>
      <c r="BD158" s="4" t="str">
        <f t="shared" si="565"/>
        <v>1,750</v>
      </c>
      <c r="BE158" s="4" t="str">
        <f t="shared" si="566"/>
        <v>1,750</v>
      </c>
      <c r="BF158" s="4" t="str">
        <f t="shared" si="567"/>
        <v>1,750</v>
      </c>
      <c r="BG158" s="4" t="str">
        <f t="shared" si="568"/>
        <v>1,750</v>
      </c>
      <c r="BH158" s="4" t="str">
        <f t="shared" si="569"/>
        <v>1,750</v>
      </c>
      <c r="BI158" s="4" t="str">
        <f t="shared" si="570"/>
        <v>1,750</v>
      </c>
      <c r="BJ158" s="4" t="str">
        <f t="shared" si="571"/>
        <v>1,750</v>
      </c>
    </row>
    <row r="159" customHeight="1" spans="1:62">
      <c r="A159" s="35">
        <v>941</v>
      </c>
      <c r="B159" s="40" t="s">
        <v>81</v>
      </c>
      <c r="C159" s="40"/>
      <c r="D159" s="46" t="s">
        <v>382</v>
      </c>
      <c r="E159" s="43">
        <v>3</v>
      </c>
      <c r="F159" s="35">
        <v>1</v>
      </c>
      <c r="G159" s="35">
        <f t="shared" si="572"/>
        <v>1</v>
      </c>
      <c r="H159" s="35">
        <v>1</v>
      </c>
      <c r="I159" s="35">
        <v>1</v>
      </c>
      <c r="J159" s="35">
        <v>1</v>
      </c>
      <c r="K159" s="35">
        <v>1</v>
      </c>
      <c r="L159" s="35">
        <v>1</v>
      </c>
      <c r="M159" s="35"/>
      <c r="N159">
        <f t="shared" si="573"/>
        <v>1500</v>
      </c>
      <c r="O159" s="35">
        <v>1</v>
      </c>
      <c r="P159" s="24">
        <f>ROUND(INDEX($C$2:$C$5,MATCH($E159,$B$2:$B$5,0))*$F159/SUMIFS($F:$F,$E:$E,$E159,$B:$B,$B159,O:O,1)*IF(B159=$B$10,0.9,1),0)</f>
        <v>250</v>
      </c>
      <c r="Q159" s="24">
        <f t="shared" ref="Q159:U159" si="654">IF($L159&lt;=Q$8,1,0)</f>
        <v>1</v>
      </c>
      <c r="R159" s="24">
        <f>ROUND(INDEX($C$2:$C$5,MATCH($E159,$B$2:$B$5,0))*$I159/SUMIFS($I:$I,$E:$E,$E159,$B:$B,$B159,Q:Q,1)*IF(B159=$B$10,0.9,1),0)</f>
        <v>300</v>
      </c>
      <c r="S159" s="24">
        <f t="shared" si="654"/>
        <v>1</v>
      </c>
      <c r="T159" s="24">
        <f>ROUND(INDEX($C$2:$C$5,MATCH($E159,$B$2:$B$5,0))*$J159/SUMIFS($J:$J,$E:$E,$E159,$B:$B,$B159,S:S,1)*IF(B159=$B$10,0.9,1),0)</f>
        <v>300</v>
      </c>
      <c r="U159" s="24">
        <f t="shared" si="654"/>
        <v>1</v>
      </c>
      <c r="V159" s="24">
        <f>ROUND(INDEX($C$2:$C$5,MATCH($E159,$B$2:$B$5,0))*$K159/SUMIFS($K:$K,$E:$E,$E159,$B:$B,$B159,U:U,1)*IF(B159=$B$10,0.9,1),0)</f>
        <v>300</v>
      </c>
      <c r="W159" s="24">
        <f t="shared" ref="W159:AA159" si="655">IF($L159&lt;=W$8,1,0)</f>
        <v>1</v>
      </c>
      <c r="X159" s="24">
        <f>ROUND(INDEX($C$2:$C$5,MATCH($E159,$B$2:$B$5,0))*$F159/SUMIFS($F:$F,$E:$E,$E159,$B:$B,$B159,W:W,1)*IF(B159=$B$10,0.9,1),0)</f>
        <v>250</v>
      </c>
      <c r="Y159" s="24">
        <f t="shared" si="655"/>
        <v>1</v>
      </c>
      <c r="Z159" s="24">
        <f>ROUND(INDEX($C$2:$C$5,MATCH($E159,$B$2:$B$5,0))*$G159/SUMIFS($G:$G,$E:$E,$E159,$B:$B,$B159,Y:Y,1)*IF(B159=$B$10,0.9,1),0)</f>
        <v>250</v>
      </c>
      <c r="AA159" s="24">
        <f t="shared" si="655"/>
        <v>1</v>
      </c>
      <c r="AB159" s="24">
        <f>ROUND(INDEX($C$2:$C$5,MATCH($E159,$B$2:$B$5,0))*$H159/SUMIFS($H:$H,$E:$E,$E159,$B:$B,$B159,AA:AA,1)*IF(B159=$B$10,0.9,1),0)</f>
        <v>250</v>
      </c>
      <c r="AC159" s="24">
        <f t="shared" ref="AC159:AG159" si="656">IF($L159&lt;=AC$8,1,0)</f>
        <v>1</v>
      </c>
      <c r="AD159" s="24">
        <f>ROUND(INDEX($C$2:$C$5,MATCH($E159,$B$2:$B$5,0))*$F159/SUMIFS($F:$F,$E:$E,$E159,$B:$B,$B159,AC:AC,1)*IF(B159=$B$10,0.9,1),0)</f>
        <v>250</v>
      </c>
      <c r="AE159" s="24">
        <f t="shared" si="656"/>
        <v>1</v>
      </c>
      <c r="AF159" s="24">
        <f>ROUND(INDEX($C$2:$C$5,MATCH($E159,$B$2:$B$5,0))*$G159/SUMIFS($G:$G,$E:$E,$E159,$B:$B,$B159,AE:AE,1)*IF(B159=$B$10,0.9,1),0)</f>
        <v>250</v>
      </c>
      <c r="AG159" s="24">
        <f t="shared" si="656"/>
        <v>1</v>
      </c>
      <c r="AH159" s="24">
        <f>ROUND(INDEX($C$2:$C$5,MATCH($E159,$B$2:$B$5,0))*$H159/SUMIFS($H:$H,$E:$E,$E159,$B:$B,$B159,AG:AG,1)*IF(B159=$B$10,0.9,1),0)</f>
        <v>250</v>
      </c>
      <c r="AI159" s="24">
        <f t="shared" ref="AI159:AM159" si="657">IF($L159&lt;=AI$8,1,0)</f>
        <v>1</v>
      </c>
      <c r="AJ159" s="24">
        <f>ROUND(INDEX($C$2:$C$5,MATCH($E159,$B$2:$B$5,0))*$F159/SUMIFS($F:$F,$E:$E,$E159,$B:$B,$B159,AI:AI,1)*IF(B159=$B$10,0.9,1),0)</f>
        <v>250</v>
      </c>
      <c r="AK159" s="24">
        <f t="shared" si="657"/>
        <v>1</v>
      </c>
      <c r="AL159" s="24">
        <f>ROUND(INDEX($C$2:$C$5,MATCH($E159,$B$2:$B$5,0))*$G159/SUMIFS($G:$G,$E:$E,$E159,$B:$B,$B159,AK:AK,1)*IF(B159=$B$10,0.9,1),0)</f>
        <v>250</v>
      </c>
      <c r="AM159" s="24">
        <f t="shared" si="657"/>
        <v>1</v>
      </c>
      <c r="AN159" s="24">
        <f>ROUND(INDEX($C$2:$C$5,MATCH($E159,$B$2:$B$5,0))*$H159/SUMIFS($H:$H,$E:$E,$E159,$B:$B,$B159,AM:AM,1)*IF(B159=$B$10,0.9,1),0)</f>
        <v>250</v>
      </c>
      <c r="AX159" s="4" t="str">
        <f t="shared" si="559"/>
        <v>1,250</v>
      </c>
      <c r="AY159" s="4" t="str">
        <f t="shared" si="560"/>
        <v>1,300</v>
      </c>
      <c r="AZ159" s="4" t="str">
        <f t="shared" si="561"/>
        <v>1,300</v>
      </c>
      <c r="BA159" s="4" t="str">
        <f t="shared" si="562"/>
        <v>1,300</v>
      </c>
      <c r="BB159" s="4" t="str">
        <f t="shared" si="563"/>
        <v>1,250</v>
      </c>
      <c r="BC159" s="4" t="str">
        <f t="shared" si="564"/>
        <v>1,250</v>
      </c>
      <c r="BD159" s="4" t="str">
        <f t="shared" si="565"/>
        <v>1,250</v>
      </c>
      <c r="BE159" s="4" t="str">
        <f t="shared" si="566"/>
        <v>1,250</v>
      </c>
      <c r="BF159" s="4" t="str">
        <f t="shared" si="567"/>
        <v>1,250</v>
      </c>
      <c r="BG159" s="4" t="str">
        <f t="shared" si="568"/>
        <v>1,250</v>
      </c>
      <c r="BH159" s="4" t="str">
        <f t="shared" si="569"/>
        <v>1,250</v>
      </c>
      <c r="BI159" s="4" t="str">
        <f t="shared" si="570"/>
        <v>1,250</v>
      </c>
      <c r="BJ159" s="4" t="str">
        <f t="shared" si="571"/>
        <v>1,250</v>
      </c>
    </row>
    <row r="160" customHeight="1" spans="1:62">
      <c r="A160" s="35">
        <v>942</v>
      </c>
      <c r="B160" s="40" t="s">
        <v>81</v>
      </c>
      <c r="C160" s="40"/>
      <c r="D160" s="46" t="s">
        <v>85</v>
      </c>
      <c r="E160" s="43">
        <v>3</v>
      </c>
      <c r="F160" s="35">
        <v>1</v>
      </c>
      <c r="G160" s="35">
        <f t="shared" si="572"/>
        <v>1</v>
      </c>
      <c r="H160" s="35">
        <v>1</v>
      </c>
      <c r="I160" s="35">
        <v>1</v>
      </c>
      <c r="J160" s="35">
        <v>1</v>
      </c>
      <c r="K160" s="35">
        <v>1</v>
      </c>
      <c r="L160" s="35">
        <v>2</v>
      </c>
      <c r="M160" s="35"/>
      <c r="N160">
        <f t="shared" si="573"/>
        <v>1500</v>
      </c>
      <c r="O160" s="35">
        <v>1</v>
      </c>
      <c r="P160" s="24">
        <f>ROUND(INDEX($C$2:$C$5,MATCH($E160,$B$2:$B$5,0))*$F160/SUMIFS($F:$F,$E:$E,$E160,$B:$B,$B160,O:O,1)*IF(B160=$B$10,0.9,1),0)</f>
        <v>250</v>
      </c>
      <c r="Q160" s="24">
        <f t="shared" ref="Q160:U160" si="658">IF($L160&lt;=Q$8,1,0)</f>
        <v>0</v>
      </c>
      <c r="R160" s="24">
        <f>ROUND(INDEX($C$2:$C$5,MATCH($E160,$B$2:$B$5,0))*$I160/SUMIFS($I:$I,$E:$E,$E160,$B:$B,$B160,Q:Q,1)*IF(B160=$B$10,0.9,1),0)</f>
        <v>300</v>
      </c>
      <c r="S160" s="24">
        <f t="shared" si="658"/>
        <v>0</v>
      </c>
      <c r="T160" s="24">
        <f>ROUND(INDEX($C$2:$C$5,MATCH($E160,$B$2:$B$5,0))*$J160/SUMIFS($J:$J,$E:$E,$E160,$B:$B,$B160,S:S,1)*IF(B160=$B$10,0.9,1),0)</f>
        <v>300</v>
      </c>
      <c r="U160" s="24">
        <f t="shared" si="658"/>
        <v>0</v>
      </c>
      <c r="V160" s="24">
        <f>ROUND(INDEX($C$2:$C$5,MATCH($E160,$B$2:$B$5,0))*$K160/SUMIFS($K:$K,$E:$E,$E160,$B:$B,$B160,U:U,1)*IF(B160=$B$10,0.9,1),0)</f>
        <v>300</v>
      </c>
      <c r="W160" s="24">
        <f t="shared" ref="W160:AA160" si="659">IF($L160&lt;=W$8,1,0)</f>
        <v>1</v>
      </c>
      <c r="X160" s="24">
        <f>ROUND(INDEX($C$2:$C$5,MATCH($E160,$B$2:$B$5,0))*$F160/SUMIFS($F:$F,$E:$E,$E160,$B:$B,$B160,W:W,1)*IF(B160=$B$10,0.9,1),0)</f>
        <v>250</v>
      </c>
      <c r="Y160" s="24">
        <f t="shared" si="659"/>
        <v>1</v>
      </c>
      <c r="Z160" s="24">
        <f>ROUND(INDEX($C$2:$C$5,MATCH($E160,$B$2:$B$5,0))*$G160/SUMIFS($G:$G,$E:$E,$E160,$B:$B,$B160,Y:Y,1)*IF(B160=$B$10,0.9,1),0)</f>
        <v>250</v>
      </c>
      <c r="AA160" s="24">
        <f t="shared" si="659"/>
        <v>1</v>
      </c>
      <c r="AB160" s="24">
        <f>ROUND(INDEX($C$2:$C$5,MATCH($E160,$B$2:$B$5,0))*$H160/SUMIFS($H:$H,$E:$E,$E160,$B:$B,$B160,AA:AA,1)*IF(B160=$B$10,0.9,1),0)</f>
        <v>250</v>
      </c>
      <c r="AC160" s="24">
        <f t="shared" ref="AC160:AG160" si="660">IF($L160&lt;=AC$8,1,0)</f>
        <v>1</v>
      </c>
      <c r="AD160" s="24">
        <f>ROUND(INDEX($C$2:$C$5,MATCH($E160,$B$2:$B$5,0))*$F160/SUMIFS($F:$F,$E:$E,$E160,$B:$B,$B160,AC:AC,1)*IF(B160=$B$10,0.9,1),0)</f>
        <v>250</v>
      </c>
      <c r="AE160" s="24">
        <f t="shared" si="660"/>
        <v>1</v>
      </c>
      <c r="AF160" s="24">
        <f>ROUND(INDEX($C$2:$C$5,MATCH($E160,$B$2:$B$5,0))*$G160/SUMIFS($G:$G,$E:$E,$E160,$B:$B,$B160,AE:AE,1)*IF(B160=$B$10,0.9,1),0)</f>
        <v>250</v>
      </c>
      <c r="AG160" s="24">
        <f t="shared" si="660"/>
        <v>1</v>
      </c>
      <c r="AH160" s="24">
        <f>ROUND(INDEX($C$2:$C$5,MATCH($E160,$B$2:$B$5,0))*$H160/SUMIFS($H:$H,$E:$E,$E160,$B:$B,$B160,AG:AG,1)*IF(B160=$B$10,0.9,1),0)</f>
        <v>250</v>
      </c>
      <c r="AI160" s="24">
        <f t="shared" ref="AI160:AM160" si="661">IF($L160&lt;=AI$8,1,0)</f>
        <v>1</v>
      </c>
      <c r="AJ160" s="24">
        <f>ROUND(INDEX($C$2:$C$5,MATCH($E160,$B$2:$B$5,0))*$F160/SUMIFS($F:$F,$E:$E,$E160,$B:$B,$B160,AI:AI,1)*IF(B160=$B$10,0.9,1),0)</f>
        <v>250</v>
      </c>
      <c r="AK160" s="24">
        <f t="shared" si="661"/>
        <v>1</v>
      </c>
      <c r="AL160" s="24">
        <f>ROUND(INDEX($C$2:$C$5,MATCH($E160,$B$2:$B$5,0))*$G160/SUMIFS($G:$G,$E:$E,$E160,$B:$B,$B160,AK:AK,1)*IF(B160=$B$10,0.9,1),0)</f>
        <v>250</v>
      </c>
      <c r="AM160" s="24">
        <f t="shared" si="661"/>
        <v>1</v>
      </c>
      <c r="AN160" s="24">
        <f>ROUND(INDEX($C$2:$C$5,MATCH($E160,$B$2:$B$5,0))*$H160/SUMIFS($H:$H,$E:$E,$E160,$B:$B,$B160,AM:AM,1)*IF(B160=$B$10,0.9,1),0)</f>
        <v>250</v>
      </c>
      <c r="AX160" s="4" t="str">
        <f t="shared" si="559"/>
        <v>1,250</v>
      </c>
      <c r="AY160" s="4" t="str">
        <f t="shared" si="560"/>
        <v>0,300</v>
      </c>
      <c r="AZ160" s="4" t="str">
        <f t="shared" si="561"/>
        <v>0,300</v>
      </c>
      <c r="BA160" s="4" t="str">
        <f t="shared" si="562"/>
        <v>0,300</v>
      </c>
      <c r="BB160" s="4" t="str">
        <f t="shared" si="563"/>
        <v>1,250</v>
      </c>
      <c r="BC160" s="4" t="str">
        <f t="shared" si="564"/>
        <v>1,250</v>
      </c>
      <c r="BD160" s="4" t="str">
        <f t="shared" si="565"/>
        <v>1,250</v>
      </c>
      <c r="BE160" s="4" t="str">
        <f t="shared" si="566"/>
        <v>1,250</v>
      </c>
      <c r="BF160" s="4" t="str">
        <f t="shared" si="567"/>
        <v>1,250</v>
      </c>
      <c r="BG160" s="4" t="str">
        <f t="shared" si="568"/>
        <v>1,250</v>
      </c>
      <c r="BH160" s="4" t="str">
        <f t="shared" si="569"/>
        <v>1,250</v>
      </c>
      <c r="BI160" s="4" t="str">
        <f t="shared" si="570"/>
        <v>1,250</v>
      </c>
      <c r="BJ160" s="4" t="str">
        <f t="shared" si="571"/>
        <v>1,250</v>
      </c>
    </row>
    <row r="161" customHeight="1" spans="1:62">
      <c r="A161" s="35">
        <v>951</v>
      </c>
      <c r="B161" s="40" t="s">
        <v>81</v>
      </c>
      <c r="C161" s="40"/>
      <c r="D161" s="47" t="s">
        <v>403</v>
      </c>
      <c r="E161" s="43">
        <v>4</v>
      </c>
      <c r="F161" s="35">
        <v>1</v>
      </c>
      <c r="G161" s="35">
        <f t="shared" si="572"/>
        <v>1</v>
      </c>
      <c r="H161" s="35">
        <v>1</v>
      </c>
      <c r="I161" s="35">
        <v>1</v>
      </c>
      <c r="J161" s="35">
        <v>1</v>
      </c>
      <c r="K161" s="35">
        <v>1</v>
      </c>
      <c r="L161" s="35">
        <v>1</v>
      </c>
      <c r="M161" s="35" t="s">
        <v>136</v>
      </c>
      <c r="N161">
        <f t="shared" si="573"/>
        <v>500</v>
      </c>
      <c r="O161" s="35">
        <v>1</v>
      </c>
      <c r="P161" s="24">
        <f>ROUND(INDEX($C$2:$C$5,MATCH($E161,$B$2:$B$5,0))*$F161/SUMIFS($F:$F,$E:$E,$E161,$B:$B,$B161,O:O,1)*IF(B161=$B$10,0.9,1),0)</f>
        <v>250</v>
      </c>
      <c r="Q161" s="24">
        <f t="shared" ref="Q161:U161" si="662">IF($L161&lt;=Q$8,1,0)</f>
        <v>1</v>
      </c>
      <c r="R161" s="24">
        <f>ROUND(INDEX($C$2:$C$5,MATCH($E161,$B$2:$B$5,0))*$I161/SUMIFS($I:$I,$E:$E,$E161,$B:$B,$B161,Q:Q,1)*IF(B161=$B$10,0.9,1),0)</f>
        <v>500</v>
      </c>
      <c r="S161" s="24">
        <f t="shared" si="662"/>
        <v>1</v>
      </c>
      <c r="T161" s="24">
        <f>ROUND(INDEX($C$2:$C$5,MATCH($E161,$B$2:$B$5,0))*$J161/SUMIFS($J:$J,$E:$E,$E161,$B:$B,$B161,S:S,1)*IF(B161=$B$10,0.9,1),0)</f>
        <v>500</v>
      </c>
      <c r="U161" s="24">
        <f t="shared" si="662"/>
        <v>1</v>
      </c>
      <c r="V161" s="24">
        <f>ROUND(INDEX($C$2:$C$5,MATCH($E161,$B$2:$B$5,0))*$K161/SUMIFS($K:$K,$E:$E,$E161,$B:$B,$B161,U:U,1)*IF(B161=$B$10,0.9,1),0)</f>
        <v>500</v>
      </c>
      <c r="W161" s="24">
        <f t="shared" ref="W161:AA161" si="663">IF($L161&lt;=W$8,1,0)</f>
        <v>1</v>
      </c>
      <c r="X161" s="24">
        <f>ROUND(INDEX($C$2:$C$5,MATCH($E161,$B$2:$B$5,0))*$F161/SUMIFS($F:$F,$E:$E,$E161,$B:$B,$B161,W:W,1)*IF(B161=$B$10,0.9,1),0)</f>
        <v>500</v>
      </c>
      <c r="Y161" s="24">
        <f t="shared" si="663"/>
        <v>1</v>
      </c>
      <c r="Z161" s="24">
        <f>ROUND(INDEX($C$2:$C$5,MATCH($E161,$B$2:$B$5,0))*$G161/SUMIFS($G:$G,$E:$E,$E161,$B:$B,$B161,Y:Y,1)*IF(B161=$B$10,0.9,1),0)</f>
        <v>500</v>
      </c>
      <c r="AA161" s="24">
        <f t="shared" si="663"/>
        <v>1</v>
      </c>
      <c r="AB161" s="24">
        <f>ROUND(INDEX($C$2:$C$5,MATCH($E161,$B$2:$B$5,0))*$H161/SUMIFS($H:$H,$E:$E,$E161,$B:$B,$B161,AA:AA,1)*IF(B161=$B$10,0.9,1),0)</f>
        <v>500</v>
      </c>
      <c r="AC161" s="24">
        <f t="shared" ref="AC161:AG161" si="664">IF($L161&lt;=AC$8,1,0)</f>
        <v>1</v>
      </c>
      <c r="AD161" s="24">
        <f>ROUND(INDEX($C$2:$C$5,MATCH($E161,$B$2:$B$5,0))*$F161/SUMIFS($F:$F,$E:$E,$E161,$B:$B,$B161,AC:AC,1)*IF(B161=$B$10,0.9,1),0)</f>
        <v>250</v>
      </c>
      <c r="AE161" s="24">
        <f t="shared" si="664"/>
        <v>1</v>
      </c>
      <c r="AF161" s="24">
        <f>ROUND(INDEX($C$2:$C$5,MATCH($E161,$B$2:$B$5,0))*$G161/SUMIFS($G:$G,$E:$E,$E161,$B:$B,$B161,AE:AE,1)*IF(B161=$B$10,0.9,1),0)</f>
        <v>250</v>
      </c>
      <c r="AG161" s="24">
        <f t="shared" si="664"/>
        <v>1</v>
      </c>
      <c r="AH161" s="24">
        <f>ROUND(INDEX($C$2:$C$5,MATCH($E161,$B$2:$B$5,0))*$H161/SUMIFS($H:$H,$E:$E,$E161,$B:$B,$B161,AG:AG,1)*IF(B161=$B$10,0.9,1),0)</f>
        <v>250</v>
      </c>
      <c r="AI161" s="24">
        <f t="shared" ref="AI161:AM161" si="665">IF($L161&lt;=AI$8,1,0)</f>
        <v>1</v>
      </c>
      <c r="AJ161" s="24">
        <f>ROUND(INDEX($C$2:$C$5,MATCH($E161,$B$2:$B$5,0))*$F161/SUMIFS($F:$F,$E:$E,$E161,$B:$B,$B161,AI:AI,1)*IF(B161=$B$10,0.9,1),0)</f>
        <v>250</v>
      </c>
      <c r="AK161" s="24">
        <f t="shared" si="665"/>
        <v>1</v>
      </c>
      <c r="AL161" s="24">
        <f>ROUND(INDEX($C$2:$C$5,MATCH($E161,$B$2:$B$5,0))*$G161/SUMIFS($G:$G,$E:$E,$E161,$B:$B,$B161,AK:AK,1)*IF(B161=$B$10,0.9,1),0)</f>
        <v>250</v>
      </c>
      <c r="AM161" s="24">
        <f t="shared" si="665"/>
        <v>1</v>
      </c>
      <c r="AN161" s="24">
        <f>ROUND(INDEX($C$2:$C$5,MATCH($E161,$B$2:$B$5,0))*$H161/SUMIFS($H:$H,$E:$E,$E161,$B:$B,$B161,AM:AM,1)*IF(B161=$B$10,0.9,1),0)</f>
        <v>250</v>
      </c>
      <c r="AX161" s="4" t="str">
        <f t="shared" si="559"/>
        <v>1,250</v>
      </c>
      <c r="AY161" s="4" t="str">
        <f t="shared" si="560"/>
        <v>1,500</v>
      </c>
      <c r="AZ161" s="4" t="str">
        <f t="shared" si="561"/>
        <v>1,500</v>
      </c>
      <c r="BA161" s="4" t="str">
        <f t="shared" si="562"/>
        <v>1,500</v>
      </c>
      <c r="BB161" s="4" t="str">
        <f t="shared" si="563"/>
        <v>1,500</v>
      </c>
      <c r="BC161" s="4" t="str">
        <f t="shared" si="564"/>
        <v>1,500</v>
      </c>
      <c r="BD161" s="4" t="str">
        <f t="shared" si="565"/>
        <v>1,500</v>
      </c>
      <c r="BE161" s="4" t="str">
        <f t="shared" si="566"/>
        <v>1,250</v>
      </c>
      <c r="BF161" s="4" t="str">
        <f t="shared" si="567"/>
        <v>1,250</v>
      </c>
      <c r="BG161" s="4" t="str">
        <f t="shared" si="568"/>
        <v>1,250</v>
      </c>
      <c r="BH161" s="4" t="str">
        <f t="shared" si="569"/>
        <v>1,250</v>
      </c>
      <c r="BI161" s="4" t="str">
        <f t="shared" si="570"/>
        <v>1,250</v>
      </c>
      <c r="BJ161" s="4" t="str">
        <f t="shared" si="571"/>
        <v>1,250</v>
      </c>
    </row>
    <row r="162" customHeight="1" spans="1:62">
      <c r="A162" s="35">
        <v>952</v>
      </c>
      <c r="B162" s="40" t="s">
        <v>81</v>
      </c>
      <c r="C162" s="40"/>
      <c r="D162" s="48" t="s">
        <v>29</v>
      </c>
      <c r="E162" s="45">
        <v>4</v>
      </c>
      <c r="F162" s="35">
        <v>1</v>
      </c>
      <c r="G162" s="35">
        <f t="shared" si="572"/>
        <v>1</v>
      </c>
      <c r="H162" s="35">
        <v>1</v>
      </c>
      <c r="I162" s="35">
        <v>1</v>
      </c>
      <c r="J162" s="35">
        <v>1</v>
      </c>
      <c r="K162" s="35">
        <v>1</v>
      </c>
      <c r="L162" s="35">
        <v>3</v>
      </c>
      <c r="M162" s="35"/>
      <c r="N162">
        <f t="shared" si="573"/>
        <v>500</v>
      </c>
      <c r="O162" s="35">
        <v>1</v>
      </c>
      <c r="P162" s="24">
        <f>ROUND(INDEX($C$2:$C$5,MATCH($E162,$B$2:$B$5,0))*$F162/SUMIFS($F:$F,$E:$E,$E162,$B:$B,$B162,O:O,1)*IF(B162=$B$10,0.9,1),0)</f>
        <v>250</v>
      </c>
      <c r="Q162" s="24">
        <f t="shared" ref="Q162:U162" si="666">IF($L162&lt;=Q$8,1,0)</f>
        <v>0</v>
      </c>
      <c r="R162" s="24">
        <f>ROUND(INDEX($C$2:$C$5,MATCH($E162,$B$2:$B$5,0))*$I162/SUMIFS($I:$I,$E:$E,$E162,$B:$B,$B162,Q:Q,1)*IF(B162=$B$10,0.9,1),0)</f>
        <v>500</v>
      </c>
      <c r="S162" s="24">
        <f t="shared" si="666"/>
        <v>0</v>
      </c>
      <c r="T162" s="24">
        <f>ROUND(INDEX($C$2:$C$5,MATCH($E162,$B$2:$B$5,0))*$J162/SUMIFS($J:$J,$E:$E,$E162,$B:$B,$B162,S:S,1)*IF(B162=$B$10,0.9,1),0)</f>
        <v>500</v>
      </c>
      <c r="U162" s="24">
        <f t="shared" si="666"/>
        <v>0</v>
      </c>
      <c r="V162" s="24">
        <f>ROUND(INDEX($C$2:$C$5,MATCH($E162,$B$2:$B$5,0))*$K162/SUMIFS($K:$K,$E:$E,$E162,$B:$B,$B162,U:U,1)*IF(B162=$B$10,0.9,1),0)</f>
        <v>500</v>
      </c>
      <c r="W162" s="24">
        <f t="shared" ref="W162:AA162" si="667">IF($L162&lt;=W$8,1,0)</f>
        <v>0</v>
      </c>
      <c r="X162" s="24">
        <f>ROUND(INDEX($C$2:$C$5,MATCH($E162,$B$2:$B$5,0))*$F162/SUMIFS($F:$F,$E:$E,$E162,$B:$B,$B162,W:W,1)*IF(B162=$B$10,0.9,1),0)</f>
        <v>500</v>
      </c>
      <c r="Y162" s="24">
        <f t="shared" si="667"/>
        <v>0</v>
      </c>
      <c r="Z162" s="24">
        <f>ROUND(INDEX($C$2:$C$5,MATCH($E162,$B$2:$B$5,0))*$G162/SUMIFS($G:$G,$E:$E,$E162,$B:$B,$B162,Y:Y,1)*IF(B162=$B$10,0.9,1),0)</f>
        <v>500</v>
      </c>
      <c r="AA162" s="24">
        <f t="shared" si="667"/>
        <v>0</v>
      </c>
      <c r="AB162" s="24">
        <f>ROUND(INDEX($C$2:$C$5,MATCH($E162,$B$2:$B$5,0))*$H162/SUMIFS($H:$H,$E:$E,$E162,$B:$B,$B162,AA:AA,1)*IF(B162=$B$10,0.9,1),0)</f>
        <v>500</v>
      </c>
      <c r="AC162" s="24">
        <f t="shared" ref="AC162:AG162" si="668">IF($L162&lt;=AC$8,1,0)</f>
        <v>1</v>
      </c>
      <c r="AD162" s="24">
        <f>ROUND(INDEX($C$2:$C$5,MATCH($E162,$B$2:$B$5,0))*$F162/SUMIFS($F:$F,$E:$E,$E162,$B:$B,$B162,AC:AC,1)*IF(B162=$B$10,0.9,1),0)</f>
        <v>250</v>
      </c>
      <c r="AE162" s="24">
        <f t="shared" si="668"/>
        <v>1</v>
      </c>
      <c r="AF162" s="24">
        <f>ROUND(INDEX($C$2:$C$5,MATCH($E162,$B$2:$B$5,0))*$G162/SUMIFS($G:$G,$E:$E,$E162,$B:$B,$B162,AE:AE,1)*IF(B162=$B$10,0.9,1),0)</f>
        <v>250</v>
      </c>
      <c r="AG162" s="24">
        <f t="shared" si="668"/>
        <v>1</v>
      </c>
      <c r="AH162" s="24">
        <f>ROUND(INDEX($C$2:$C$5,MATCH($E162,$B$2:$B$5,0))*$H162/SUMIFS($H:$H,$E:$E,$E162,$B:$B,$B162,AG:AG,1)*IF(B162=$B$10,0.9,1),0)</f>
        <v>250</v>
      </c>
      <c r="AI162" s="24">
        <f t="shared" ref="AI162:AM162" si="669">IF($L162&lt;=AI$8,1,0)</f>
        <v>1</v>
      </c>
      <c r="AJ162" s="24">
        <f>ROUND(INDEX($C$2:$C$5,MATCH($E162,$B$2:$B$5,0))*$F162/SUMIFS($F:$F,$E:$E,$E162,$B:$B,$B162,AI:AI,1)*IF(B162=$B$10,0.9,1),0)</f>
        <v>250</v>
      </c>
      <c r="AK162" s="24">
        <f t="shared" si="669"/>
        <v>1</v>
      </c>
      <c r="AL162" s="24">
        <f>ROUND(INDEX($C$2:$C$5,MATCH($E162,$B$2:$B$5,0))*$G162/SUMIFS($G:$G,$E:$E,$E162,$B:$B,$B162,AK:AK,1)*IF(B162=$B$10,0.9,1),0)</f>
        <v>250</v>
      </c>
      <c r="AM162" s="24">
        <f t="shared" si="669"/>
        <v>1</v>
      </c>
      <c r="AN162" s="24">
        <f>ROUND(INDEX($C$2:$C$5,MATCH($E162,$B$2:$B$5,0))*$H162/SUMIFS($H:$H,$E:$E,$E162,$B:$B,$B162,AM:AM,1)*IF(B162=$B$10,0.9,1),0)</f>
        <v>250</v>
      </c>
      <c r="AX162" s="4" t="str">
        <f t="shared" si="559"/>
        <v>1,250</v>
      </c>
      <c r="AY162" s="4" t="str">
        <f t="shared" si="560"/>
        <v>0,500</v>
      </c>
      <c r="AZ162" s="4" t="str">
        <f t="shared" si="561"/>
        <v>0,500</v>
      </c>
      <c r="BA162" s="4" t="str">
        <f t="shared" si="562"/>
        <v>0,500</v>
      </c>
      <c r="BB162" s="4" t="str">
        <f t="shared" si="563"/>
        <v>0,500</v>
      </c>
      <c r="BC162" s="4" t="str">
        <f t="shared" si="564"/>
        <v>0,500</v>
      </c>
      <c r="BD162" s="4" t="str">
        <f t="shared" si="565"/>
        <v>0,500</v>
      </c>
      <c r="BE162" s="4" t="str">
        <f t="shared" si="566"/>
        <v>1,250</v>
      </c>
      <c r="BF162" s="4" t="str">
        <f t="shared" si="567"/>
        <v>1,250</v>
      </c>
      <c r="BG162" s="4" t="str">
        <f t="shared" si="568"/>
        <v>1,250</v>
      </c>
      <c r="BH162" s="4" t="str">
        <f t="shared" si="569"/>
        <v>1,250</v>
      </c>
      <c r="BI162" s="4" t="str">
        <f t="shared" si="570"/>
        <v>1,250</v>
      </c>
      <c r="BJ162" s="4" t="str">
        <f t="shared" si="571"/>
        <v>1,250</v>
      </c>
    </row>
    <row r="163" customHeight="1" spans="1:62">
      <c r="A163" s="35">
        <v>1001</v>
      </c>
      <c r="B163" s="40" t="s">
        <v>87</v>
      </c>
      <c r="C163" s="40"/>
      <c r="D163" s="41" t="s">
        <v>356</v>
      </c>
      <c r="E163" s="45">
        <v>1</v>
      </c>
      <c r="F163" s="35">
        <v>1</v>
      </c>
      <c r="G163" s="35">
        <f t="shared" si="572"/>
        <v>1</v>
      </c>
      <c r="H163" s="35">
        <v>1</v>
      </c>
      <c r="I163" s="35">
        <v>1</v>
      </c>
      <c r="J163" s="35">
        <v>1</v>
      </c>
      <c r="K163" s="35">
        <v>1</v>
      </c>
      <c r="L163" s="35">
        <v>1</v>
      </c>
      <c r="M163" s="35"/>
      <c r="N163">
        <f t="shared" si="573"/>
        <v>13500</v>
      </c>
      <c r="O163" s="35">
        <v>1</v>
      </c>
      <c r="P163" s="24">
        <f>ROUND(INDEX($C$2:$C$5,MATCH($E163,$B$2:$B$5,0))*$F163/SUMIFS($F:$F,$E:$E,$E163,$B:$B,$B163,O:O,1)*IF(B163=$B$10,0.9,1),0)</f>
        <v>4500</v>
      </c>
      <c r="Q163" s="24">
        <f t="shared" ref="Q163:U163" si="670">IF($L163&lt;=Q$8,1,0)</f>
        <v>1</v>
      </c>
      <c r="R163" s="24">
        <f>ROUND(INDEX($C$2:$C$5,MATCH($E163,$B$2:$B$5,0))*$I163/SUMIFS($I:$I,$E:$E,$E163,$B:$B,$B163,Q:Q,1)*IF(B163=$B$10,0.9,1),0)</f>
        <v>4500</v>
      </c>
      <c r="S163" s="24">
        <f t="shared" si="670"/>
        <v>1</v>
      </c>
      <c r="T163" s="24">
        <f>ROUND(INDEX($C$2:$C$5,MATCH($E163,$B$2:$B$5,0))*$J163/SUMIFS($J:$J,$E:$E,$E163,$B:$B,$B163,S:S,1)*IF(B163=$B$10,0.9,1),0)</f>
        <v>4500</v>
      </c>
      <c r="U163" s="24">
        <f t="shared" si="670"/>
        <v>1</v>
      </c>
      <c r="V163" s="24">
        <f>ROUND(INDEX($C$2:$C$5,MATCH($E163,$B$2:$B$5,0))*$K163/SUMIFS($K:$K,$E:$E,$E163,$B:$B,$B163,U:U,1)*IF(B163=$B$10,0.9,1),0)</f>
        <v>4500</v>
      </c>
      <c r="W163" s="24">
        <f t="shared" ref="W163:AA163" si="671">IF($L163&lt;=W$8,1,0)</f>
        <v>1</v>
      </c>
      <c r="X163" s="24">
        <f>ROUND(INDEX($C$2:$C$5,MATCH($E163,$B$2:$B$5,0))*$F163/SUMIFS($F:$F,$E:$E,$E163,$B:$B,$B163,W:W,1)*IF(B163=$B$10,0.9,1),0)</f>
        <v>4500</v>
      </c>
      <c r="Y163" s="24">
        <f t="shared" si="671"/>
        <v>1</v>
      </c>
      <c r="Z163" s="24">
        <f>ROUND(INDEX($C$2:$C$5,MATCH($E163,$B$2:$B$5,0))*$G163/SUMIFS($G:$G,$E:$E,$E163,$B:$B,$B163,Y:Y,1)*IF(B163=$B$10,0.9,1),0)</f>
        <v>4500</v>
      </c>
      <c r="AA163" s="24">
        <f t="shared" si="671"/>
        <v>1</v>
      </c>
      <c r="AB163" s="24">
        <f>ROUND(INDEX($C$2:$C$5,MATCH($E163,$B$2:$B$5,0))*$H163/SUMIFS($H:$H,$E:$E,$E163,$B:$B,$B163,AA:AA,1)*IF(B163=$B$10,0.9,1),0)</f>
        <v>4500</v>
      </c>
      <c r="AC163" s="24">
        <f t="shared" ref="AC163:AG163" si="672">IF($L163&lt;=AC$8,1,0)</f>
        <v>1</v>
      </c>
      <c r="AD163" s="24">
        <f>ROUND(INDEX($C$2:$C$5,MATCH($E163,$B$2:$B$5,0))*$F163/SUMIFS($F:$F,$E:$E,$E163,$B:$B,$B163,AC:AC,1)*IF(B163=$B$10,0.9,1),0)</f>
        <v>4500</v>
      </c>
      <c r="AE163" s="24">
        <f t="shared" si="672"/>
        <v>1</v>
      </c>
      <c r="AF163" s="24">
        <f>ROUND(INDEX($C$2:$C$5,MATCH($E163,$B$2:$B$5,0))*$G163/SUMIFS($G:$G,$E:$E,$E163,$B:$B,$B163,AE:AE,1)*IF(B163=$B$10,0.9,1),0)</f>
        <v>4500</v>
      </c>
      <c r="AG163" s="24">
        <f t="shared" si="672"/>
        <v>1</v>
      </c>
      <c r="AH163" s="24">
        <f>ROUND(INDEX($C$2:$C$5,MATCH($E163,$B$2:$B$5,0))*$H163/SUMIFS($H:$H,$E:$E,$E163,$B:$B,$B163,AG:AG,1)*IF(B163=$B$10,0.9,1),0)</f>
        <v>4500</v>
      </c>
      <c r="AI163" s="24">
        <f t="shared" ref="AI163:AM163" si="673">IF($L163&lt;=AI$8,1,0)</f>
        <v>1</v>
      </c>
      <c r="AJ163" s="24">
        <f>ROUND(INDEX($C$2:$C$5,MATCH($E163,$B$2:$B$5,0))*$F163/SUMIFS($F:$F,$E:$E,$E163,$B:$B,$B163,AI:AI,1)*IF(B163=$B$10,0.9,1),0)</f>
        <v>4500</v>
      </c>
      <c r="AK163" s="24">
        <f t="shared" si="673"/>
        <v>1</v>
      </c>
      <c r="AL163" s="24">
        <f>ROUND(INDEX($C$2:$C$5,MATCH($E163,$B$2:$B$5,0))*$G163/SUMIFS($G:$G,$E:$E,$E163,$B:$B,$B163,AK:AK,1)*IF(B163=$B$10,0.9,1),0)</f>
        <v>4500</v>
      </c>
      <c r="AM163" s="24">
        <f t="shared" si="673"/>
        <v>1</v>
      </c>
      <c r="AN163" s="24">
        <f>ROUND(INDEX($C$2:$C$5,MATCH($E163,$B$2:$B$5,0))*$H163/SUMIFS($H:$H,$E:$E,$E163,$B:$B,$B163,AM:AM,1)*IF(B163=$B$10,0.9,1),0)</f>
        <v>4500</v>
      </c>
      <c r="AX163" s="4" t="str">
        <f t="shared" si="559"/>
        <v>1,4500</v>
      </c>
      <c r="AY163" s="4" t="str">
        <f t="shared" si="560"/>
        <v>1,4500</v>
      </c>
      <c r="AZ163" s="4" t="str">
        <f t="shared" si="561"/>
        <v>1,4500</v>
      </c>
      <c r="BA163" s="4" t="str">
        <f t="shared" si="562"/>
        <v>1,4500</v>
      </c>
      <c r="BB163" s="4" t="str">
        <f t="shared" si="563"/>
        <v>1,4500</v>
      </c>
      <c r="BC163" s="4" t="str">
        <f t="shared" si="564"/>
        <v>1,4500</v>
      </c>
      <c r="BD163" s="4" t="str">
        <f t="shared" si="565"/>
        <v>1,4500</v>
      </c>
      <c r="BE163" s="4" t="str">
        <f t="shared" si="566"/>
        <v>1,4500</v>
      </c>
      <c r="BF163" s="4" t="str">
        <f t="shared" si="567"/>
        <v>1,4500</v>
      </c>
      <c r="BG163" s="4" t="str">
        <f t="shared" si="568"/>
        <v>1,4500</v>
      </c>
      <c r="BH163" s="4" t="str">
        <f t="shared" si="569"/>
        <v>1,4500</v>
      </c>
      <c r="BI163" s="4" t="str">
        <f t="shared" si="570"/>
        <v>1,4500</v>
      </c>
      <c r="BJ163" s="4" t="str">
        <f t="shared" si="571"/>
        <v>1,4500</v>
      </c>
    </row>
    <row r="164" customHeight="1" spans="1:62">
      <c r="A164" s="35">
        <v>1002</v>
      </c>
      <c r="B164" s="40" t="s">
        <v>87</v>
      </c>
      <c r="C164" s="40" t="s">
        <v>218</v>
      </c>
      <c r="D164" s="41" t="s">
        <v>357</v>
      </c>
      <c r="E164" s="43">
        <v>1</v>
      </c>
      <c r="F164" s="35">
        <v>1</v>
      </c>
      <c r="G164" s="35">
        <f t="shared" si="572"/>
        <v>1</v>
      </c>
      <c r="H164" s="35">
        <v>1</v>
      </c>
      <c r="I164" s="35">
        <v>1</v>
      </c>
      <c r="J164" s="35">
        <v>1</v>
      </c>
      <c r="K164" s="35">
        <v>1</v>
      </c>
      <c r="L164" s="35">
        <v>1</v>
      </c>
      <c r="M164" s="35"/>
      <c r="N164">
        <f t="shared" si="573"/>
        <v>13500</v>
      </c>
      <c r="O164" s="35">
        <v>1</v>
      </c>
      <c r="P164" s="24">
        <f>ROUND(INDEX($C$2:$C$5,MATCH($E164,$B$2:$B$5,0))*$F164/SUMIFS($F:$F,$E:$E,$E164,$B:$B,$B164,O:O,1)*IF(B164=$B$10,0.9,1),0)</f>
        <v>4500</v>
      </c>
      <c r="Q164" s="24">
        <f t="shared" ref="Q164:U164" si="674">IF($L164&lt;=Q$8,1,0)</f>
        <v>1</v>
      </c>
      <c r="R164" s="24">
        <f>ROUND(INDEX($C$2:$C$5,MATCH($E164,$B$2:$B$5,0))*$I164/SUMIFS($I:$I,$E:$E,$E164,$B:$B,$B164,Q:Q,1)*IF(B164=$B$10,0.9,1),0)</f>
        <v>4500</v>
      </c>
      <c r="S164" s="24">
        <f t="shared" si="674"/>
        <v>1</v>
      </c>
      <c r="T164" s="24">
        <f>ROUND(INDEX($C$2:$C$5,MATCH($E164,$B$2:$B$5,0))*$J164/SUMIFS($J:$J,$E:$E,$E164,$B:$B,$B164,S:S,1)*IF(B164=$B$10,0.9,1),0)</f>
        <v>4500</v>
      </c>
      <c r="U164" s="24">
        <f t="shared" si="674"/>
        <v>1</v>
      </c>
      <c r="V164" s="24">
        <f>ROUND(INDEX($C$2:$C$5,MATCH($E164,$B$2:$B$5,0))*$K164/SUMIFS($K:$K,$E:$E,$E164,$B:$B,$B164,U:U,1)*IF(B164=$B$10,0.9,1),0)</f>
        <v>4500</v>
      </c>
      <c r="W164" s="24">
        <f t="shared" ref="W164:AA164" si="675">IF($L164&lt;=W$8,1,0)</f>
        <v>1</v>
      </c>
      <c r="X164" s="24">
        <f>ROUND(INDEX($C$2:$C$5,MATCH($E164,$B$2:$B$5,0))*$F164/SUMIFS($F:$F,$E:$E,$E164,$B:$B,$B164,W:W,1)*IF(B164=$B$10,0.9,1),0)</f>
        <v>4500</v>
      </c>
      <c r="Y164" s="24">
        <f t="shared" si="675"/>
        <v>1</v>
      </c>
      <c r="Z164" s="24">
        <f>ROUND(INDEX($C$2:$C$5,MATCH($E164,$B$2:$B$5,0))*$G164/SUMIFS($G:$G,$E:$E,$E164,$B:$B,$B164,Y:Y,1)*IF(B164=$B$10,0.9,1),0)</f>
        <v>4500</v>
      </c>
      <c r="AA164" s="24">
        <f t="shared" si="675"/>
        <v>1</v>
      </c>
      <c r="AB164" s="24">
        <f>ROUND(INDEX($C$2:$C$5,MATCH($E164,$B$2:$B$5,0))*$H164/SUMIFS($H:$H,$E:$E,$E164,$B:$B,$B164,AA:AA,1)*IF(B164=$B$10,0.9,1),0)</f>
        <v>4500</v>
      </c>
      <c r="AC164" s="24">
        <f t="shared" ref="AC164:AG164" si="676">IF($L164&lt;=AC$8,1,0)</f>
        <v>1</v>
      </c>
      <c r="AD164" s="24">
        <f>ROUND(INDEX($C$2:$C$5,MATCH($E164,$B$2:$B$5,0))*$F164/SUMIFS($F:$F,$E:$E,$E164,$B:$B,$B164,AC:AC,1)*IF(B164=$B$10,0.9,1),0)</f>
        <v>4500</v>
      </c>
      <c r="AE164" s="24">
        <f t="shared" si="676"/>
        <v>1</v>
      </c>
      <c r="AF164" s="24">
        <f>ROUND(INDEX($C$2:$C$5,MATCH($E164,$B$2:$B$5,0))*$G164/SUMIFS($G:$G,$E:$E,$E164,$B:$B,$B164,AE:AE,1)*IF(B164=$B$10,0.9,1),0)</f>
        <v>4500</v>
      </c>
      <c r="AG164" s="24">
        <f t="shared" si="676"/>
        <v>1</v>
      </c>
      <c r="AH164" s="24">
        <f>ROUND(INDEX($C$2:$C$5,MATCH($E164,$B$2:$B$5,0))*$H164/SUMIFS($H:$H,$E:$E,$E164,$B:$B,$B164,AG:AG,1)*IF(B164=$B$10,0.9,1),0)</f>
        <v>4500</v>
      </c>
      <c r="AI164" s="24">
        <f t="shared" ref="AI164:AM164" si="677">IF($L164&lt;=AI$8,1,0)</f>
        <v>1</v>
      </c>
      <c r="AJ164" s="24">
        <f>ROUND(INDEX($C$2:$C$5,MATCH($E164,$B$2:$B$5,0))*$F164/SUMIFS($F:$F,$E:$E,$E164,$B:$B,$B164,AI:AI,1)*IF(B164=$B$10,0.9,1),0)</f>
        <v>4500</v>
      </c>
      <c r="AK164" s="24">
        <f t="shared" si="677"/>
        <v>1</v>
      </c>
      <c r="AL164" s="24">
        <f>ROUND(INDEX($C$2:$C$5,MATCH($E164,$B$2:$B$5,0))*$G164/SUMIFS($G:$G,$E:$E,$E164,$B:$B,$B164,AK:AK,1)*IF(B164=$B$10,0.9,1),0)</f>
        <v>4500</v>
      </c>
      <c r="AM164" s="24">
        <f t="shared" si="677"/>
        <v>1</v>
      </c>
      <c r="AN164" s="24">
        <f>ROUND(INDEX($C$2:$C$5,MATCH($E164,$B$2:$B$5,0))*$H164/SUMIFS($H:$H,$E:$E,$E164,$B:$B,$B164,AM:AM,1)*IF(B164=$B$10,0.9,1),0)</f>
        <v>4500</v>
      </c>
      <c r="AX164" s="4" t="str">
        <f t="shared" si="559"/>
        <v>1,4500</v>
      </c>
      <c r="AY164" s="4" t="str">
        <f t="shared" si="560"/>
        <v>1,4500</v>
      </c>
      <c r="AZ164" s="4" t="str">
        <f t="shared" si="561"/>
        <v>1,4500</v>
      </c>
      <c r="BA164" s="4" t="str">
        <f t="shared" si="562"/>
        <v>1,4500</v>
      </c>
      <c r="BB164" s="4" t="str">
        <f t="shared" si="563"/>
        <v>1,4500</v>
      </c>
      <c r="BC164" s="4" t="str">
        <f t="shared" si="564"/>
        <v>1,4500</v>
      </c>
      <c r="BD164" s="4" t="str">
        <f t="shared" si="565"/>
        <v>1,4500</v>
      </c>
      <c r="BE164" s="4" t="str">
        <f t="shared" si="566"/>
        <v>1,4500</v>
      </c>
      <c r="BF164" s="4" t="str">
        <f t="shared" si="567"/>
        <v>1,4500</v>
      </c>
      <c r="BG164" s="4" t="str">
        <f t="shared" si="568"/>
        <v>1,4500</v>
      </c>
      <c r="BH164" s="4" t="str">
        <f t="shared" si="569"/>
        <v>1,4500</v>
      </c>
      <c r="BI164" s="4" t="str">
        <f t="shared" si="570"/>
        <v>1,4500</v>
      </c>
      <c r="BJ164" s="4" t="str">
        <f t="shared" si="571"/>
        <v>1,4500</v>
      </c>
    </row>
    <row r="165" customHeight="1" spans="1:62">
      <c r="A165" s="35">
        <v>1003</v>
      </c>
      <c r="B165" s="40" t="s">
        <v>87</v>
      </c>
      <c r="C165" s="40" t="s">
        <v>218</v>
      </c>
      <c r="D165" s="41" t="s">
        <v>361</v>
      </c>
      <c r="E165" s="45">
        <v>1</v>
      </c>
      <c r="F165" s="35">
        <v>1</v>
      </c>
      <c r="G165" s="35">
        <f t="shared" si="572"/>
        <v>1</v>
      </c>
      <c r="H165" s="35">
        <v>1</v>
      </c>
      <c r="I165" s="35">
        <v>1</v>
      </c>
      <c r="J165" s="35">
        <v>1</v>
      </c>
      <c r="K165" s="35">
        <v>1</v>
      </c>
      <c r="L165" s="35">
        <v>1</v>
      </c>
      <c r="M165" s="35" t="s">
        <v>136</v>
      </c>
      <c r="N165">
        <f t="shared" si="573"/>
        <v>13500</v>
      </c>
      <c r="O165" s="35">
        <v>1</v>
      </c>
      <c r="P165" s="24">
        <f>ROUND(INDEX($C$2:$C$5,MATCH($E165,$B$2:$B$5,0))*$F165/SUMIFS($F:$F,$E:$E,$E165,$B:$B,$B165,O:O,1)*IF(B165=$B$10,0.9,1),0)</f>
        <v>4500</v>
      </c>
      <c r="Q165" s="24">
        <f t="shared" ref="Q165:U165" si="678">IF($L165&lt;=Q$8,1,0)</f>
        <v>1</v>
      </c>
      <c r="R165" s="24">
        <f>ROUND(INDEX($C$2:$C$5,MATCH($E165,$B$2:$B$5,0))*$I165/SUMIFS($I:$I,$E:$E,$E165,$B:$B,$B165,Q:Q,1)*IF(B165=$B$10,0.9,1),0)</f>
        <v>4500</v>
      </c>
      <c r="S165" s="24">
        <f t="shared" si="678"/>
        <v>1</v>
      </c>
      <c r="T165" s="24">
        <f>ROUND(INDEX($C$2:$C$5,MATCH($E165,$B$2:$B$5,0))*$J165/SUMIFS($J:$J,$E:$E,$E165,$B:$B,$B165,S:S,1)*IF(B165=$B$10,0.9,1),0)</f>
        <v>4500</v>
      </c>
      <c r="U165" s="24">
        <f t="shared" si="678"/>
        <v>1</v>
      </c>
      <c r="V165" s="24">
        <f>ROUND(INDEX($C$2:$C$5,MATCH($E165,$B$2:$B$5,0))*$K165/SUMIFS($K:$K,$E:$E,$E165,$B:$B,$B165,U:U,1)*IF(B165=$B$10,0.9,1),0)</f>
        <v>4500</v>
      </c>
      <c r="W165" s="24">
        <f t="shared" ref="W165:AA165" si="679">IF($L165&lt;=W$8,1,0)</f>
        <v>1</v>
      </c>
      <c r="X165" s="24">
        <f>ROUND(INDEX($C$2:$C$5,MATCH($E165,$B$2:$B$5,0))*$F165/SUMIFS($F:$F,$E:$E,$E165,$B:$B,$B165,W:W,1)*IF(B165=$B$10,0.9,1),0)</f>
        <v>4500</v>
      </c>
      <c r="Y165" s="24">
        <f t="shared" si="679"/>
        <v>1</v>
      </c>
      <c r="Z165" s="24">
        <f>ROUND(INDEX($C$2:$C$5,MATCH($E165,$B$2:$B$5,0))*$G165/SUMIFS($G:$G,$E:$E,$E165,$B:$B,$B165,Y:Y,1)*IF(B165=$B$10,0.9,1),0)</f>
        <v>4500</v>
      </c>
      <c r="AA165" s="24">
        <f t="shared" si="679"/>
        <v>1</v>
      </c>
      <c r="AB165" s="24">
        <f>ROUND(INDEX($C$2:$C$5,MATCH($E165,$B$2:$B$5,0))*$H165/SUMIFS($H:$H,$E:$E,$E165,$B:$B,$B165,AA:AA,1)*IF(B165=$B$10,0.9,1),0)</f>
        <v>4500</v>
      </c>
      <c r="AC165" s="24">
        <f t="shared" ref="AC165:AG165" si="680">IF($L165&lt;=AC$8,1,0)</f>
        <v>1</v>
      </c>
      <c r="AD165" s="24">
        <f>ROUND(INDEX($C$2:$C$5,MATCH($E165,$B$2:$B$5,0))*$F165/SUMIFS($F:$F,$E:$E,$E165,$B:$B,$B165,AC:AC,1)*IF(B165=$B$10,0.9,1),0)</f>
        <v>4500</v>
      </c>
      <c r="AE165" s="24">
        <f t="shared" si="680"/>
        <v>1</v>
      </c>
      <c r="AF165" s="24">
        <f>ROUND(INDEX($C$2:$C$5,MATCH($E165,$B$2:$B$5,0))*$G165/SUMIFS($G:$G,$E:$E,$E165,$B:$B,$B165,AE:AE,1)*IF(B165=$B$10,0.9,1),0)</f>
        <v>4500</v>
      </c>
      <c r="AG165" s="24">
        <f t="shared" si="680"/>
        <v>1</v>
      </c>
      <c r="AH165" s="24">
        <f>ROUND(INDEX($C$2:$C$5,MATCH($E165,$B$2:$B$5,0))*$H165/SUMIFS($H:$H,$E:$E,$E165,$B:$B,$B165,AG:AG,1)*IF(B165=$B$10,0.9,1),0)</f>
        <v>4500</v>
      </c>
      <c r="AI165" s="24">
        <f t="shared" ref="AI165:AM165" si="681">IF($L165&lt;=AI$8,1,0)</f>
        <v>1</v>
      </c>
      <c r="AJ165" s="24">
        <f>ROUND(INDEX($C$2:$C$5,MATCH($E165,$B$2:$B$5,0))*$F165/SUMIFS($F:$F,$E:$E,$E165,$B:$B,$B165,AI:AI,1)*IF(B165=$B$10,0.9,1),0)</f>
        <v>4500</v>
      </c>
      <c r="AK165" s="24">
        <f t="shared" si="681"/>
        <v>1</v>
      </c>
      <c r="AL165" s="24">
        <f>ROUND(INDEX($C$2:$C$5,MATCH($E165,$B$2:$B$5,0))*$G165/SUMIFS($G:$G,$E:$E,$E165,$B:$B,$B165,AK:AK,1)*IF(B165=$B$10,0.9,1),0)</f>
        <v>4500</v>
      </c>
      <c r="AM165" s="24">
        <f t="shared" si="681"/>
        <v>1</v>
      </c>
      <c r="AN165" s="24">
        <f>ROUND(INDEX($C$2:$C$5,MATCH($E165,$B$2:$B$5,0))*$H165/SUMIFS($H:$H,$E:$E,$E165,$B:$B,$B165,AM:AM,1)*IF(B165=$B$10,0.9,1),0)</f>
        <v>4500</v>
      </c>
      <c r="AX165" s="4" t="str">
        <f t="shared" si="559"/>
        <v>1,4500</v>
      </c>
      <c r="AY165" s="4" t="str">
        <f t="shared" si="560"/>
        <v>1,4500</v>
      </c>
      <c r="AZ165" s="4" t="str">
        <f t="shared" si="561"/>
        <v>1,4500</v>
      </c>
      <c r="BA165" s="4" t="str">
        <f t="shared" si="562"/>
        <v>1,4500</v>
      </c>
      <c r="BB165" s="4" t="str">
        <f t="shared" si="563"/>
        <v>1,4500</v>
      </c>
      <c r="BC165" s="4" t="str">
        <f t="shared" si="564"/>
        <v>1,4500</v>
      </c>
      <c r="BD165" s="4" t="str">
        <f t="shared" si="565"/>
        <v>1,4500</v>
      </c>
      <c r="BE165" s="4" t="str">
        <f t="shared" si="566"/>
        <v>1,4500</v>
      </c>
      <c r="BF165" s="4" t="str">
        <f t="shared" si="567"/>
        <v>1,4500</v>
      </c>
      <c r="BG165" s="4" t="str">
        <f t="shared" si="568"/>
        <v>1,4500</v>
      </c>
      <c r="BH165" s="4" t="str">
        <f t="shared" si="569"/>
        <v>1,4500</v>
      </c>
      <c r="BI165" s="4" t="str">
        <f t="shared" si="570"/>
        <v>1,4500</v>
      </c>
      <c r="BJ165" s="4" t="str">
        <f t="shared" si="571"/>
        <v>1,4500</v>
      </c>
    </row>
    <row r="166" customHeight="1" spans="1:62">
      <c r="A166" s="35">
        <v>1011</v>
      </c>
      <c r="B166" s="40" t="s">
        <v>87</v>
      </c>
      <c r="C166" s="40" t="s">
        <v>218</v>
      </c>
      <c r="D166" s="44" t="s">
        <v>362</v>
      </c>
      <c r="E166" s="45">
        <v>2</v>
      </c>
      <c r="F166" s="35">
        <v>1</v>
      </c>
      <c r="G166" s="35">
        <f t="shared" si="572"/>
        <v>1</v>
      </c>
      <c r="H166" s="35">
        <v>1</v>
      </c>
      <c r="I166" s="35">
        <v>1</v>
      </c>
      <c r="J166" s="35">
        <v>1</v>
      </c>
      <c r="K166" s="35">
        <v>1</v>
      </c>
      <c r="L166" s="35">
        <v>1</v>
      </c>
      <c r="M166" s="35" t="s">
        <v>136</v>
      </c>
      <c r="N166">
        <f t="shared" si="573"/>
        <v>4500</v>
      </c>
      <c r="O166" s="35">
        <v>1</v>
      </c>
      <c r="P166" s="24">
        <f>ROUND(INDEX($C$2:$C$5,MATCH($E166,$B$2:$B$5,0))*$F166/SUMIFS($F:$F,$E:$E,$E166,$B:$B,$B166,O:O,1)*IF(B166=$B$10,0.9,1),0)</f>
        <v>750</v>
      </c>
      <c r="Q166" s="24">
        <f t="shared" ref="Q166:U166" si="682">IF($L166&lt;=Q$8,1,0)</f>
        <v>1</v>
      </c>
      <c r="R166" s="24">
        <f>ROUND(INDEX($C$2:$C$5,MATCH($E166,$B$2:$B$5,0))*$I166/SUMIFS($I:$I,$E:$E,$E166,$B:$B,$B166,Q:Q,1)*IF(B166=$B$10,0.9,1),0)</f>
        <v>750</v>
      </c>
      <c r="S166" s="24">
        <f t="shared" si="682"/>
        <v>1</v>
      </c>
      <c r="T166" s="24">
        <f>ROUND(INDEX($C$2:$C$5,MATCH($E166,$B$2:$B$5,0))*$J166/SUMIFS($J:$J,$E:$E,$E166,$B:$B,$B166,S:S,1)*IF(B166=$B$10,0.9,1),0)</f>
        <v>750</v>
      </c>
      <c r="U166" s="24">
        <f t="shared" si="682"/>
        <v>1</v>
      </c>
      <c r="V166" s="24">
        <f>ROUND(INDEX($C$2:$C$5,MATCH($E166,$B$2:$B$5,0))*$K166/SUMIFS($K:$K,$E:$E,$E166,$B:$B,$B166,U:U,1)*IF(B166=$B$10,0.9,1),0)</f>
        <v>750</v>
      </c>
      <c r="W166" s="24">
        <f t="shared" ref="W166:AA166" si="683">IF($L166&lt;=W$8,1,0)</f>
        <v>1</v>
      </c>
      <c r="X166" s="24">
        <f>ROUND(INDEX($C$2:$C$5,MATCH($E166,$B$2:$B$5,0))*$F166/SUMIFS($F:$F,$E:$E,$E166,$B:$B,$B166,W:W,1)*IF(B166=$B$10,0.9,1),0)</f>
        <v>750</v>
      </c>
      <c r="Y166" s="24">
        <f t="shared" si="683"/>
        <v>1</v>
      </c>
      <c r="Z166" s="24">
        <f>ROUND(INDEX($C$2:$C$5,MATCH($E166,$B$2:$B$5,0))*$G166/SUMIFS($G:$G,$E:$E,$E166,$B:$B,$B166,Y:Y,1)*IF(B166=$B$10,0.9,1),0)</f>
        <v>750</v>
      </c>
      <c r="AA166" s="24">
        <f t="shared" si="683"/>
        <v>1</v>
      </c>
      <c r="AB166" s="24">
        <f>ROUND(INDEX($C$2:$C$5,MATCH($E166,$B$2:$B$5,0))*$H166/SUMIFS($H:$H,$E:$E,$E166,$B:$B,$B166,AA:AA,1)*IF(B166=$B$10,0.9,1),0)</f>
        <v>750</v>
      </c>
      <c r="AC166" s="24">
        <f t="shared" ref="AC166:AG166" si="684">IF($L166&lt;=AC$8,1,0)</f>
        <v>1</v>
      </c>
      <c r="AD166" s="24">
        <f>ROUND(INDEX($C$2:$C$5,MATCH($E166,$B$2:$B$5,0))*$F166/SUMIFS($F:$F,$E:$E,$E166,$B:$B,$B166,AC:AC,1)*IF(B166=$B$10,0.9,1),0)</f>
        <v>750</v>
      </c>
      <c r="AE166" s="24">
        <f t="shared" si="684"/>
        <v>1</v>
      </c>
      <c r="AF166" s="24">
        <f>ROUND(INDEX($C$2:$C$5,MATCH($E166,$B$2:$B$5,0))*$G166/SUMIFS($G:$G,$E:$E,$E166,$B:$B,$B166,AE:AE,1)*IF(B166=$B$10,0.9,1),0)</f>
        <v>750</v>
      </c>
      <c r="AG166" s="24">
        <f t="shared" si="684"/>
        <v>1</v>
      </c>
      <c r="AH166" s="24">
        <f>ROUND(INDEX($C$2:$C$5,MATCH($E166,$B$2:$B$5,0))*$H166/SUMIFS($H:$H,$E:$E,$E166,$B:$B,$B166,AG:AG,1)*IF(B166=$B$10,0.9,1),0)</f>
        <v>750</v>
      </c>
      <c r="AI166" s="24">
        <f t="shared" ref="AI166:AM166" si="685">IF($L166&lt;=AI$8,1,0)</f>
        <v>1</v>
      </c>
      <c r="AJ166" s="24">
        <f>ROUND(INDEX($C$2:$C$5,MATCH($E166,$B$2:$B$5,0))*$F166/SUMIFS($F:$F,$E:$E,$E166,$B:$B,$B166,AI:AI,1)*IF(B166=$B$10,0.9,1),0)</f>
        <v>750</v>
      </c>
      <c r="AK166" s="24">
        <f t="shared" si="685"/>
        <v>1</v>
      </c>
      <c r="AL166" s="24">
        <f>ROUND(INDEX($C$2:$C$5,MATCH($E166,$B$2:$B$5,0))*$G166/SUMIFS($G:$G,$E:$E,$E166,$B:$B,$B166,AK:AK,1)*IF(B166=$B$10,0.9,1),0)</f>
        <v>750</v>
      </c>
      <c r="AM166" s="24">
        <f t="shared" si="685"/>
        <v>1</v>
      </c>
      <c r="AN166" s="24">
        <f>ROUND(INDEX($C$2:$C$5,MATCH($E166,$B$2:$B$5,0))*$H166/SUMIFS($H:$H,$E:$E,$E166,$B:$B,$B166,AM:AM,1)*IF(B166=$B$10,0.9,1),0)</f>
        <v>750</v>
      </c>
      <c r="AX166" s="4" t="str">
        <f t="shared" si="559"/>
        <v>1,750</v>
      </c>
      <c r="AY166" s="4" t="str">
        <f t="shared" si="560"/>
        <v>1,750</v>
      </c>
      <c r="AZ166" s="4" t="str">
        <f t="shared" si="561"/>
        <v>1,750</v>
      </c>
      <c r="BA166" s="4" t="str">
        <f t="shared" si="562"/>
        <v>1,750</v>
      </c>
      <c r="BB166" s="4" t="str">
        <f t="shared" si="563"/>
        <v>1,750</v>
      </c>
      <c r="BC166" s="4" t="str">
        <f t="shared" si="564"/>
        <v>1,750</v>
      </c>
      <c r="BD166" s="4" t="str">
        <f t="shared" si="565"/>
        <v>1,750</v>
      </c>
      <c r="BE166" s="4" t="str">
        <f t="shared" si="566"/>
        <v>1,750</v>
      </c>
      <c r="BF166" s="4" t="str">
        <f t="shared" si="567"/>
        <v>1,750</v>
      </c>
      <c r="BG166" s="4" t="str">
        <f t="shared" si="568"/>
        <v>1,750</v>
      </c>
      <c r="BH166" s="4" t="str">
        <f t="shared" si="569"/>
        <v>1,750</v>
      </c>
      <c r="BI166" s="4" t="str">
        <f t="shared" si="570"/>
        <v>1,750</v>
      </c>
      <c r="BJ166" s="4" t="str">
        <f t="shared" si="571"/>
        <v>1,750</v>
      </c>
    </row>
    <row r="167" customHeight="1" spans="1:62">
      <c r="A167" s="35">
        <v>1012</v>
      </c>
      <c r="B167" s="40" t="s">
        <v>87</v>
      </c>
      <c r="C167" s="40" t="s">
        <v>218</v>
      </c>
      <c r="D167" s="44" t="s">
        <v>363</v>
      </c>
      <c r="E167" s="45">
        <v>2</v>
      </c>
      <c r="F167" s="35">
        <v>1</v>
      </c>
      <c r="G167" s="35">
        <f t="shared" si="572"/>
        <v>1</v>
      </c>
      <c r="H167" s="35">
        <v>1</v>
      </c>
      <c r="I167" s="35">
        <v>1</v>
      </c>
      <c r="J167" s="35">
        <v>1</v>
      </c>
      <c r="K167" s="35">
        <v>1</v>
      </c>
      <c r="L167" s="35">
        <v>1</v>
      </c>
      <c r="M167" s="35"/>
      <c r="N167">
        <f t="shared" si="573"/>
        <v>4500</v>
      </c>
      <c r="O167" s="35">
        <v>1</v>
      </c>
      <c r="P167" s="24">
        <f>ROUND(INDEX($C$2:$C$5,MATCH($E167,$B$2:$B$5,0))*$F167/SUMIFS($F:$F,$E:$E,$E167,$B:$B,$B167,O:O,1)*IF(B167=$B$10,0.9,1),0)</f>
        <v>750</v>
      </c>
      <c r="Q167" s="24">
        <f t="shared" ref="Q167:U167" si="686">IF($L167&lt;=Q$8,1,0)</f>
        <v>1</v>
      </c>
      <c r="R167" s="24">
        <f>ROUND(INDEX($C$2:$C$5,MATCH($E167,$B$2:$B$5,0))*$I167/SUMIFS($I:$I,$E:$E,$E167,$B:$B,$B167,Q:Q,1)*IF(B167=$B$10,0.9,1),0)</f>
        <v>750</v>
      </c>
      <c r="S167" s="24">
        <f t="shared" si="686"/>
        <v>1</v>
      </c>
      <c r="T167" s="24">
        <f>ROUND(INDEX($C$2:$C$5,MATCH($E167,$B$2:$B$5,0))*$J167/SUMIFS($J:$J,$E:$E,$E167,$B:$B,$B167,S:S,1)*IF(B167=$B$10,0.9,1),0)</f>
        <v>750</v>
      </c>
      <c r="U167" s="24">
        <f t="shared" si="686"/>
        <v>1</v>
      </c>
      <c r="V167" s="24">
        <f>ROUND(INDEX($C$2:$C$5,MATCH($E167,$B$2:$B$5,0))*$K167/SUMIFS($K:$K,$E:$E,$E167,$B:$B,$B167,U:U,1)*IF(B167=$B$10,0.9,1),0)</f>
        <v>750</v>
      </c>
      <c r="W167" s="24">
        <f t="shared" ref="W167:AA167" si="687">IF($L167&lt;=W$8,1,0)</f>
        <v>1</v>
      </c>
      <c r="X167" s="24">
        <f>ROUND(INDEX($C$2:$C$5,MATCH($E167,$B$2:$B$5,0))*$F167/SUMIFS($F:$F,$E:$E,$E167,$B:$B,$B167,W:W,1)*IF(B167=$B$10,0.9,1),0)</f>
        <v>750</v>
      </c>
      <c r="Y167" s="24">
        <f t="shared" si="687"/>
        <v>1</v>
      </c>
      <c r="Z167" s="24">
        <f>ROUND(INDEX($C$2:$C$5,MATCH($E167,$B$2:$B$5,0))*$G167/SUMIFS($G:$G,$E:$E,$E167,$B:$B,$B167,Y:Y,1)*IF(B167=$B$10,0.9,1),0)</f>
        <v>750</v>
      </c>
      <c r="AA167" s="24">
        <f t="shared" si="687"/>
        <v>1</v>
      </c>
      <c r="AB167" s="24">
        <f>ROUND(INDEX($C$2:$C$5,MATCH($E167,$B$2:$B$5,0))*$H167/SUMIFS($H:$H,$E:$E,$E167,$B:$B,$B167,AA:AA,1)*IF(B167=$B$10,0.9,1),0)</f>
        <v>750</v>
      </c>
      <c r="AC167" s="24">
        <f t="shared" ref="AC167:AG167" si="688">IF($L167&lt;=AC$8,1,0)</f>
        <v>1</v>
      </c>
      <c r="AD167" s="24">
        <f>ROUND(INDEX($C$2:$C$5,MATCH($E167,$B$2:$B$5,0))*$F167/SUMIFS($F:$F,$E:$E,$E167,$B:$B,$B167,AC:AC,1)*IF(B167=$B$10,0.9,1),0)</f>
        <v>750</v>
      </c>
      <c r="AE167" s="24">
        <f t="shared" si="688"/>
        <v>1</v>
      </c>
      <c r="AF167" s="24">
        <f>ROUND(INDEX($C$2:$C$5,MATCH($E167,$B$2:$B$5,0))*$G167/SUMIFS($G:$G,$E:$E,$E167,$B:$B,$B167,AE:AE,1)*IF(B167=$B$10,0.9,1),0)</f>
        <v>750</v>
      </c>
      <c r="AG167" s="24">
        <f t="shared" si="688"/>
        <v>1</v>
      </c>
      <c r="AH167" s="24">
        <f>ROUND(INDEX($C$2:$C$5,MATCH($E167,$B$2:$B$5,0))*$H167/SUMIFS($H:$H,$E:$E,$E167,$B:$B,$B167,AG:AG,1)*IF(B167=$B$10,0.9,1),0)</f>
        <v>750</v>
      </c>
      <c r="AI167" s="24">
        <f t="shared" ref="AI167:AM167" si="689">IF($L167&lt;=AI$8,1,0)</f>
        <v>1</v>
      </c>
      <c r="AJ167" s="24">
        <f>ROUND(INDEX($C$2:$C$5,MATCH($E167,$B$2:$B$5,0))*$F167/SUMIFS($F:$F,$E:$E,$E167,$B:$B,$B167,AI:AI,1)*IF(B167=$B$10,0.9,1),0)</f>
        <v>750</v>
      </c>
      <c r="AK167" s="24">
        <f t="shared" si="689"/>
        <v>1</v>
      </c>
      <c r="AL167" s="24">
        <f>ROUND(INDEX($C$2:$C$5,MATCH($E167,$B$2:$B$5,0))*$G167/SUMIFS($G:$G,$E:$E,$E167,$B:$B,$B167,AK:AK,1)*IF(B167=$B$10,0.9,1),0)</f>
        <v>750</v>
      </c>
      <c r="AM167" s="24">
        <f t="shared" si="689"/>
        <v>1</v>
      </c>
      <c r="AN167" s="24">
        <f>ROUND(INDEX($C$2:$C$5,MATCH($E167,$B$2:$B$5,0))*$H167/SUMIFS($H:$H,$E:$E,$E167,$B:$B,$B167,AM:AM,1)*IF(B167=$B$10,0.9,1),0)</f>
        <v>750</v>
      </c>
      <c r="AX167" s="4" t="str">
        <f t="shared" si="559"/>
        <v>1,750</v>
      </c>
      <c r="AY167" s="4" t="str">
        <f t="shared" si="560"/>
        <v>1,750</v>
      </c>
      <c r="AZ167" s="4" t="str">
        <f t="shared" si="561"/>
        <v>1,750</v>
      </c>
      <c r="BA167" s="4" t="str">
        <f t="shared" si="562"/>
        <v>1,750</v>
      </c>
      <c r="BB167" s="4" t="str">
        <f t="shared" si="563"/>
        <v>1,750</v>
      </c>
      <c r="BC167" s="4" t="str">
        <f t="shared" si="564"/>
        <v>1,750</v>
      </c>
      <c r="BD167" s="4" t="str">
        <f t="shared" si="565"/>
        <v>1,750</v>
      </c>
      <c r="BE167" s="4" t="str">
        <f t="shared" si="566"/>
        <v>1,750</v>
      </c>
      <c r="BF167" s="4" t="str">
        <f t="shared" si="567"/>
        <v>1,750</v>
      </c>
      <c r="BG167" s="4" t="str">
        <f t="shared" si="568"/>
        <v>1,750</v>
      </c>
      <c r="BH167" s="4" t="str">
        <f t="shared" si="569"/>
        <v>1,750</v>
      </c>
      <c r="BI167" s="4" t="str">
        <f t="shared" si="570"/>
        <v>1,750</v>
      </c>
      <c r="BJ167" s="4" t="str">
        <f t="shared" si="571"/>
        <v>1,750</v>
      </c>
    </row>
    <row r="168" customHeight="1" spans="1:62">
      <c r="A168" s="35">
        <v>1013</v>
      </c>
      <c r="B168" s="40" t="s">
        <v>87</v>
      </c>
      <c r="C168" s="40" t="s">
        <v>218</v>
      </c>
      <c r="D168" s="44" t="s">
        <v>364</v>
      </c>
      <c r="E168" s="50">
        <v>2</v>
      </c>
      <c r="F168" s="35">
        <v>1</v>
      </c>
      <c r="G168" s="35">
        <f t="shared" si="572"/>
        <v>1</v>
      </c>
      <c r="H168" s="35">
        <v>1</v>
      </c>
      <c r="I168" s="35">
        <v>1</v>
      </c>
      <c r="J168" s="35">
        <v>1</v>
      </c>
      <c r="K168" s="35">
        <v>1</v>
      </c>
      <c r="L168" s="35">
        <v>1</v>
      </c>
      <c r="M168" s="35"/>
      <c r="N168">
        <f t="shared" si="573"/>
        <v>4500</v>
      </c>
      <c r="O168" s="35">
        <v>1</v>
      </c>
      <c r="P168" s="24">
        <f>ROUND(INDEX($C$2:$C$5,MATCH($E168,$B$2:$B$5,0))*$F168/SUMIFS($F:$F,$E:$E,$E168,$B:$B,$B168,O:O,1)*IF(B168=$B$10,0.9,1),0)</f>
        <v>750</v>
      </c>
      <c r="Q168" s="24">
        <f t="shared" ref="Q168:U168" si="690">IF($L168&lt;=Q$8,1,0)</f>
        <v>1</v>
      </c>
      <c r="R168" s="24">
        <f>ROUND(INDEX($C$2:$C$5,MATCH($E168,$B$2:$B$5,0))*$I168/SUMIFS($I:$I,$E:$E,$E168,$B:$B,$B168,Q:Q,1)*IF(B168=$B$10,0.9,1),0)</f>
        <v>750</v>
      </c>
      <c r="S168" s="24">
        <f t="shared" si="690"/>
        <v>1</v>
      </c>
      <c r="T168" s="24">
        <f>ROUND(INDEX($C$2:$C$5,MATCH($E168,$B$2:$B$5,0))*$J168/SUMIFS($J:$J,$E:$E,$E168,$B:$B,$B168,S:S,1)*IF(B168=$B$10,0.9,1),0)</f>
        <v>750</v>
      </c>
      <c r="U168" s="24">
        <f t="shared" si="690"/>
        <v>1</v>
      </c>
      <c r="V168" s="24">
        <f>ROUND(INDEX($C$2:$C$5,MATCH($E168,$B$2:$B$5,0))*$K168/SUMIFS($K:$K,$E:$E,$E168,$B:$B,$B168,U:U,1)*IF(B168=$B$10,0.9,1),0)</f>
        <v>750</v>
      </c>
      <c r="W168" s="24">
        <f t="shared" ref="W168:AA168" si="691">IF($L168&lt;=W$8,1,0)</f>
        <v>1</v>
      </c>
      <c r="X168" s="24">
        <f>ROUND(INDEX($C$2:$C$5,MATCH($E168,$B$2:$B$5,0))*$F168/SUMIFS($F:$F,$E:$E,$E168,$B:$B,$B168,W:W,1)*IF(B168=$B$10,0.9,1),0)</f>
        <v>750</v>
      </c>
      <c r="Y168" s="24">
        <f t="shared" si="691"/>
        <v>1</v>
      </c>
      <c r="Z168" s="24">
        <f>ROUND(INDEX($C$2:$C$5,MATCH($E168,$B$2:$B$5,0))*$G168/SUMIFS($G:$G,$E:$E,$E168,$B:$B,$B168,Y:Y,1)*IF(B168=$B$10,0.9,1),0)</f>
        <v>750</v>
      </c>
      <c r="AA168" s="24">
        <f t="shared" si="691"/>
        <v>1</v>
      </c>
      <c r="AB168" s="24">
        <f>ROUND(INDEX($C$2:$C$5,MATCH($E168,$B$2:$B$5,0))*$H168/SUMIFS($H:$H,$E:$E,$E168,$B:$B,$B168,AA:AA,1)*IF(B168=$B$10,0.9,1),0)</f>
        <v>750</v>
      </c>
      <c r="AC168" s="24">
        <f t="shared" ref="AC168:AG168" si="692">IF($L168&lt;=AC$8,1,0)</f>
        <v>1</v>
      </c>
      <c r="AD168" s="24">
        <f>ROUND(INDEX($C$2:$C$5,MATCH($E168,$B$2:$B$5,0))*$F168/SUMIFS($F:$F,$E:$E,$E168,$B:$B,$B168,AC:AC,1)*IF(B168=$B$10,0.9,1),0)</f>
        <v>750</v>
      </c>
      <c r="AE168" s="24">
        <f t="shared" si="692"/>
        <v>1</v>
      </c>
      <c r="AF168" s="24">
        <f>ROUND(INDEX($C$2:$C$5,MATCH($E168,$B$2:$B$5,0))*$G168/SUMIFS($G:$G,$E:$E,$E168,$B:$B,$B168,AE:AE,1)*IF(B168=$B$10,0.9,1),0)</f>
        <v>750</v>
      </c>
      <c r="AG168" s="24">
        <f t="shared" si="692"/>
        <v>1</v>
      </c>
      <c r="AH168" s="24">
        <f>ROUND(INDEX($C$2:$C$5,MATCH($E168,$B$2:$B$5,0))*$H168/SUMIFS($H:$H,$E:$E,$E168,$B:$B,$B168,AG:AG,1)*IF(B168=$B$10,0.9,1),0)</f>
        <v>750</v>
      </c>
      <c r="AI168" s="24">
        <f t="shared" ref="AI168:AM168" si="693">IF($L168&lt;=AI$8,1,0)</f>
        <v>1</v>
      </c>
      <c r="AJ168" s="24">
        <f>ROUND(INDEX($C$2:$C$5,MATCH($E168,$B$2:$B$5,0))*$F168/SUMIFS($F:$F,$E:$E,$E168,$B:$B,$B168,AI:AI,1)*IF(B168=$B$10,0.9,1),0)</f>
        <v>750</v>
      </c>
      <c r="AK168" s="24">
        <f t="shared" si="693"/>
        <v>1</v>
      </c>
      <c r="AL168" s="24">
        <f>ROUND(INDEX($C$2:$C$5,MATCH($E168,$B$2:$B$5,0))*$G168/SUMIFS($G:$G,$E:$E,$E168,$B:$B,$B168,AK:AK,1)*IF(B168=$B$10,0.9,1),0)</f>
        <v>750</v>
      </c>
      <c r="AM168" s="24">
        <f t="shared" si="693"/>
        <v>1</v>
      </c>
      <c r="AN168" s="24">
        <f>ROUND(INDEX($C$2:$C$5,MATCH($E168,$B$2:$B$5,0))*$H168/SUMIFS($H:$H,$E:$E,$E168,$B:$B,$B168,AM:AM,1)*IF(B168=$B$10,0.9,1),0)</f>
        <v>750</v>
      </c>
      <c r="AX168" s="4" t="str">
        <f t="shared" si="559"/>
        <v>1,750</v>
      </c>
      <c r="AY168" s="4" t="str">
        <f t="shared" si="560"/>
        <v>1,750</v>
      </c>
      <c r="AZ168" s="4" t="str">
        <f t="shared" si="561"/>
        <v>1,750</v>
      </c>
      <c r="BA168" s="4" t="str">
        <f t="shared" si="562"/>
        <v>1,750</v>
      </c>
      <c r="BB168" s="4" t="str">
        <f t="shared" si="563"/>
        <v>1,750</v>
      </c>
      <c r="BC168" s="4" t="str">
        <f t="shared" si="564"/>
        <v>1,750</v>
      </c>
      <c r="BD168" s="4" t="str">
        <f t="shared" si="565"/>
        <v>1,750</v>
      </c>
      <c r="BE168" s="4" t="str">
        <f t="shared" si="566"/>
        <v>1,750</v>
      </c>
      <c r="BF168" s="4" t="str">
        <f t="shared" si="567"/>
        <v>1,750</v>
      </c>
      <c r="BG168" s="4" t="str">
        <f t="shared" si="568"/>
        <v>1,750</v>
      </c>
      <c r="BH168" s="4" t="str">
        <f t="shared" si="569"/>
        <v>1,750</v>
      </c>
      <c r="BI168" s="4" t="str">
        <f t="shared" si="570"/>
        <v>1,750</v>
      </c>
      <c r="BJ168" s="4" t="str">
        <f t="shared" si="571"/>
        <v>1,750</v>
      </c>
    </row>
    <row r="169" customHeight="1" spans="1:62">
      <c r="A169" s="35">
        <v>1014</v>
      </c>
      <c r="B169" s="40" t="s">
        <v>87</v>
      </c>
      <c r="C169" s="40" t="s">
        <v>218</v>
      </c>
      <c r="D169" s="44" t="s">
        <v>365</v>
      </c>
      <c r="E169" s="50">
        <v>2</v>
      </c>
      <c r="F169" s="35">
        <v>1</v>
      </c>
      <c r="G169" s="35">
        <f t="shared" si="572"/>
        <v>1</v>
      </c>
      <c r="H169" s="35">
        <v>1</v>
      </c>
      <c r="I169" s="35">
        <v>1</v>
      </c>
      <c r="J169" s="35">
        <v>1</v>
      </c>
      <c r="K169" s="35">
        <v>1</v>
      </c>
      <c r="L169" s="35">
        <v>1</v>
      </c>
      <c r="M169" s="35"/>
      <c r="N169">
        <f t="shared" si="573"/>
        <v>4500</v>
      </c>
      <c r="O169" s="35">
        <v>1</v>
      </c>
      <c r="P169" s="24">
        <f>ROUND(INDEX($C$2:$C$5,MATCH($E169,$B$2:$B$5,0))*$F169/SUMIFS($F:$F,$E:$E,$E169,$B:$B,$B169,O:O,1)*IF(B169=$B$10,0.9,1),0)</f>
        <v>750</v>
      </c>
      <c r="Q169" s="24">
        <f t="shared" ref="Q169:U169" si="694">IF($L169&lt;=Q$8,1,0)</f>
        <v>1</v>
      </c>
      <c r="R169" s="24">
        <f>ROUND(INDEX($C$2:$C$5,MATCH($E169,$B$2:$B$5,0))*$I169/SUMIFS($I:$I,$E:$E,$E169,$B:$B,$B169,Q:Q,1)*IF(B169=$B$10,0.9,1),0)</f>
        <v>750</v>
      </c>
      <c r="S169" s="24">
        <f t="shared" si="694"/>
        <v>1</v>
      </c>
      <c r="T169" s="24">
        <f>ROUND(INDEX($C$2:$C$5,MATCH($E169,$B$2:$B$5,0))*$J169/SUMIFS($J:$J,$E:$E,$E169,$B:$B,$B169,S:S,1)*IF(B169=$B$10,0.9,1),0)</f>
        <v>750</v>
      </c>
      <c r="U169" s="24">
        <f t="shared" si="694"/>
        <v>1</v>
      </c>
      <c r="V169" s="24">
        <f>ROUND(INDEX($C$2:$C$5,MATCH($E169,$B$2:$B$5,0))*$K169/SUMIFS($K:$K,$E:$E,$E169,$B:$B,$B169,U:U,1)*IF(B169=$B$10,0.9,1),0)</f>
        <v>750</v>
      </c>
      <c r="W169" s="24">
        <f t="shared" ref="W169:AA169" si="695">IF($L169&lt;=W$8,1,0)</f>
        <v>1</v>
      </c>
      <c r="X169" s="24">
        <f>ROUND(INDEX($C$2:$C$5,MATCH($E169,$B$2:$B$5,0))*$F169/SUMIFS($F:$F,$E:$E,$E169,$B:$B,$B169,W:W,1)*IF(B169=$B$10,0.9,1),0)</f>
        <v>750</v>
      </c>
      <c r="Y169" s="24">
        <f t="shared" si="695"/>
        <v>1</v>
      </c>
      <c r="Z169" s="24">
        <f>ROUND(INDEX($C$2:$C$5,MATCH($E169,$B$2:$B$5,0))*$G169/SUMIFS($G:$G,$E:$E,$E169,$B:$B,$B169,Y:Y,1)*IF(B169=$B$10,0.9,1),0)</f>
        <v>750</v>
      </c>
      <c r="AA169" s="24">
        <f t="shared" si="695"/>
        <v>1</v>
      </c>
      <c r="AB169" s="24">
        <f>ROUND(INDEX($C$2:$C$5,MATCH($E169,$B$2:$B$5,0))*$H169/SUMIFS($H:$H,$E:$E,$E169,$B:$B,$B169,AA:AA,1)*IF(B169=$B$10,0.9,1),0)</f>
        <v>750</v>
      </c>
      <c r="AC169" s="24">
        <f t="shared" ref="AC169:AG169" si="696">IF($L169&lt;=AC$8,1,0)</f>
        <v>1</v>
      </c>
      <c r="AD169" s="24">
        <f>ROUND(INDEX($C$2:$C$5,MATCH($E169,$B$2:$B$5,0))*$F169/SUMIFS($F:$F,$E:$E,$E169,$B:$B,$B169,AC:AC,1)*IF(B169=$B$10,0.9,1),0)</f>
        <v>750</v>
      </c>
      <c r="AE169" s="24">
        <f t="shared" si="696"/>
        <v>1</v>
      </c>
      <c r="AF169" s="24">
        <f>ROUND(INDEX($C$2:$C$5,MATCH($E169,$B$2:$B$5,0))*$G169/SUMIFS($G:$G,$E:$E,$E169,$B:$B,$B169,AE:AE,1)*IF(B169=$B$10,0.9,1),0)</f>
        <v>750</v>
      </c>
      <c r="AG169" s="24">
        <f t="shared" si="696"/>
        <v>1</v>
      </c>
      <c r="AH169" s="24">
        <f>ROUND(INDEX($C$2:$C$5,MATCH($E169,$B$2:$B$5,0))*$H169/SUMIFS($H:$H,$E:$E,$E169,$B:$B,$B169,AG:AG,1)*IF(B169=$B$10,0.9,1),0)</f>
        <v>750</v>
      </c>
      <c r="AI169" s="24">
        <f t="shared" ref="AI169:AM169" si="697">IF($L169&lt;=AI$8,1,0)</f>
        <v>1</v>
      </c>
      <c r="AJ169" s="24">
        <f>ROUND(INDEX($C$2:$C$5,MATCH($E169,$B$2:$B$5,0))*$F169/SUMIFS($F:$F,$E:$E,$E169,$B:$B,$B169,AI:AI,1)*IF(B169=$B$10,0.9,1),0)</f>
        <v>750</v>
      </c>
      <c r="AK169" s="24">
        <f t="shared" si="697"/>
        <v>1</v>
      </c>
      <c r="AL169" s="24">
        <f>ROUND(INDEX($C$2:$C$5,MATCH($E169,$B$2:$B$5,0))*$G169/SUMIFS($G:$G,$E:$E,$E169,$B:$B,$B169,AK:AK,1)*IF(B169=$B$10,0.9,1),0)</f>
        <v>750</v>
      </c>
      <c r="AM169" s="24">
        <f t="shared" si="697"/>
        <v>1</v>
      </c>
      <c r="AN169" s="24">
        <f>ROUND(INDEX($C$2:$C$5,MATCH($E169,$B$2:$B$5,0))*$H169/SUMIFS($H:$H,$E:$E,$E169,$B:$B,$B169,AM:AM,1)*IF(B169=$B$10,0.9,1),0)</f>
        <v>750</v>
      </c>
      <c r="AX169" s="4" t="str">
        <f t="shared" si="559"/>
        <v>1,750</v>
      </c>
      <c r="AY169" s="4" t="str">
        <f t="shared" si="560"/>
        <v>1,750</v>
      </c>
      <c r="AZ169" s="4" t="str">
        <f t="shared" si="561"/>
        <v>1,750</v>
      </c>
      <c r="BA169" s="4" t="str">
        <f t="shared" si="562"/>
        <v>1,750</v>
      </c>
      <c r="BB169" s="4" t="str">
        <f t="shared" si="563"/>
        <v>1,750</v>
      </c>
      <c r="BC169" s="4" t="str">
        <f t="shared" si="564"/>
        <v>1,750</v>
      </c>
      <c r="BD169" s="4" t="str">
        <f t="shared" si="565"/>
        <v>1,750</v>
      </c>
      <c r="BE169" s="4" t="str">
        <f t="shared" si="566"/>
        <v>1,750</v>
      </c>
      <c r="BF169" s="4" t="str">
        <f t="shared" si="567"/>
        <v>1,750</v>
      </c>
      <c r="BG169" s="4" t="str">
        <f t="shared" si="568"/>
        <v>1,750</v>
      </c>
      <c r="BH169" s="4" t="str">
        <f t="shared" si="569"/>
        <v>1,750</v>
      </c>
      <c r="BI169" s="4" t="str">
        <f t="shared" si="570"/>
        <v>1,750</v>
      </c>
      <c r="BJ169" s="4" t="str">
        <f t="shared" si="571"/>
        <v>1,750</v>
      </c>
    </row>
    <row r="170" customHeight="1" spans="1:62">
      <c r="A170" s="35">
        <v>1021</v>
      </c>
      <c r="B170" s="40" t="s">
        <v>87</v>
      </c>
      <c r="C170" s="40"/>
      <c r="D170" s="46" t="s">
        <v>366</v>
      </c>
      <c r="E170" s="35">
        <v>3</v>
      </c>
      <c r="F170" s="35">
        <v>1</v>
      </c>
      <c r="G170" s="35">
        <f t="shared" si="572"/>
        <v>1</v>
      </c>
      <c r="H170" s="35">
        <v>1</v>
      </c>
      <c r="I170" s="35">
        <v>1</v>
      </c>
      <c r="J170" s="35">
        <v>1</v>
      </c>
      <c r="K170" s="35">
        <v>1</v>
      </c>
      <c r="L170" s="35">
        <v>1</v>
      </c>
      <c r="M170" s="35"/>
      <c r="N170">
        <f t="shared" si="573"/>
        <v>1500</v>
      </c>
      <c r="O170" s="35">
        <v>1</v>
      </c>
      <c r="P170" s="24">
        <f>ROUND(INDEX($C$2:$C$5,MATCH($E170,$B$2:$B$5,0))*$F170/SUMIFS($F:$F,$E:$E,$E170,$B:$B,$B170,O:O,1)*IF(B170=$B$10,0.9,1),0)</f>
        <v>250</v>
      </c>
      <c r="Q170" s="24">
        <f t="shared" ref="Q170:U170" si="698">IF($L170&lt;=Q$8,1,0)</f>
        <v>1</v>
      </c>
      <c r="R170" s="24">
        <f>ROUND(INDEX($C$2:$C$5,MATCH($E170,$B$2:$B$5,0))*$I170/SUMIFS($I:$I,$E:$E,$E170,$B:$B,$B170,Q:Q,1)*IF(B170=$B$10,0.9,1),0)</f>
        <v>300</v>
      </c>
      <c r="S170" s="24">
        <f t="shared" si="698"/>
        <v>1</v>
      </c>
      <c r="T170" s="24">
        <f>ROUND(INDEX($C$2:$C$5,MATCH($E170,$B$2:$B$5,0))*$J170/SUMIFS($J:$J,$E:$E,$E170,$B:$B,$B170,S:S,1)*IF(B170=$B$10,0.9,1),0)</f>
        <v>300</v>
      </c>
      <c r="U170" s="24">
        <f t="shared" si="698"/>
        <v>1</v>
      </c>
      <c r="V170" s="24">
        <f>ROUND(INDEX($C$2:$C$5,MATCH($E170,$B$2:$B$5,0))*$K170/SUMIFS($K:$K,$E:$E,$E170,$B:$B,$B170,U:U,1)*IF(B170=$B$10,0.9,1),0)</f>
        <v>300</v>
      </c>
      <c r="W170" s="24">
        <f t="shared" ref="W170:AA170" si="699">IF($L170&lt;=W$8,1,0)</f>
        <v>1</v>
      </c>
      <c r="X170" s="24">
        <f>ROUND(INDEX($C$2:$C$5,MATCH($E170,$B$2:$B$5,0))*$F170/SUMIFS($F:$F,$E:$E,$E170,$B:$B,$B170,W:W,1)*IF(B170=$B$10,0.9,1),0)</f>
        <v>250</v>
      </c>
      <c r="Y170" s="24">
        <f t="shared" si="699"/>
        <v>1</v>
      </c>
      <c r="Z170" s="24">
        <f>ROUND(INDEX($C$2:$C$5,MATCH($E170,$B$2:$B$5,0))*$G170/SUMIFS($G:$G,$E:$E,$E170,$B:$B,$B170,Y:Y,1)*IF(B170=$B$10,0.9,1),0)</f>
        <v>250</v>
      </c>
      <c r="AA170" s="24">
        <f t="shared" si="699"/>
        <v>1</v>
      </c>
      <c r="AB170" s="24">
        <f>ROUND(INDEX($C$2:$C$5,MATCH($E170,$B$2:$B$5,0))*$H170/SUMIFS($H:$H,$E:$E,$E170,$B:$B,$B170,AA:AA,1)*IF(B170=$B$10,0.9,1),0)</f>
        <v>250</v>
      </c>
      <c r="AC170" s="24">
        <f t="shared" ref="AC170:AG170" si="700">IF($L170&lt;=AC$8,1,0)</f>
        <v>1</v>
      </c>
      <c r="AD170" s="24">
        <f>ROUND(INDEX($C$2:$C$5,MATCH($E170,$B$2:$B$5,0))*$F170/SUMIFS($F:$F,$E:$E,$E170,$B:$B,$B170,AC:AC,1)*IF(B170=$B$10,0.9,1),0)</f>
        <v>250</v>
      </c>
      <c r="AE170" s="24">
        <f t="shared" si="700"/>
        <v>1</v>
      </c>
      <c r="AF170" s="24">
        <f>ROUND(INDEX($C$2:$C$5,MATCH($E170,$B$2:$B$5,0))*$G170/SUMIFS($G:$G,$E:$E,$E170,$B:$B,$B170,AE:AE,1)*IF(B170=$B$10,0.9,1),0)</f>
        <v>250</v>
      </c>
      <c r="AG170" s="24">
        <f t="shared" si="700"/>
        <v>1</v>
      </c>
      <c r="AH170" s="24">
        <f>ROUND(INDEX($C$2:$C$5,MATCH($E170,$B$2:$B$5,0))*$H170/SUMIFS($H:$H,$E:$E,$E170,$B:$B,$B170,AG:AG,1)*IF(B170=$B$10,0.9,1),0)</f>
        <v>250</v>
      </c>
      <c r="AI170" s="24">
        <f t="shared" ref="AI170:AM170" si="701">IF($L170&lt;=AI$8,1,0)</f>
        <v>1</v>
      </c>
      <c r="AJ170" s="24">
        <f>ROUND(INDEX($C$2:$C$5,MATCH($E170,$B$2:$B$5,0))*$F170/SUMIFS($F:$F,$E:$E,$E170,$B:$B,$B170,AI:AI,1)*IF(B170=$B$10,0.9,1),0)</f>
        <v>250</v>
      </c>
      <c r="AK170" s="24">
        <f t="shared" si="701"/>
        <v>1</v>
      </c>
      <c r="AL170" s="24">
        <f>ROUND(INDEX($C$2:$C$5,MATCH($E170,$B$2:$B$5,0))*$G170/SUMIFS($G:$G,$E:$E,$E170,$B:$B,$B170,AK:AK,1)*IF(B170=$B$10,0.9,1),0)</f>
        <v>250</v>
      </c>
      <c r="AM170" s="24">
        <f t="shared" si="701"/>
        <v>1</v>
      </c>
      <c r="AN170" s="24">
        <f>ROUND(INDEX($C$2:$C$5,MATCH($E170,$B$2:$B$5,0))*$H170/SUMIFS($H:$H,$E:$E,$E170,$B:$B,$B170,AM:AM,1)*IF(B170=$B$10,0.9,1),0)</f>
        <v>250</v>
      </c>
      <c r="AX170" s="4" t="str">
        <f t="shared" si="559"/>
        <v>1,250</v>
      </c>
      <c r="AY170" s="4" t="str">
        <f t="shared" si="560"/>
        <v>1,300</v>
      </c>
      <c r="AZ170" s="4" t="str">
        <f t="shared" si="561"/>
        <v>1,300</v>
      </c>
      <c r="BA170" s="4" t="str">
        <f t="shared" si="562"/>
        <v>1,300</v>
      </c>
      <c r="BB170" s="4" t="str">
        <f t="shared" si="563"/>
        <v>1,250</v>
      </c>
      <c r="BC170" s="4" t="str">
        <f t="shared" si="564"/>
        <v>1,250</v>
      </c>
      <c r="BD170" s="4" t="str">
        <f t="shared" si="565"/>
        <v>1,250</v>
      </c>
      <c r="BE170" s="4" t="str">
        <f t="shared" si="566"/>
        <v>1,250</v>
      </c>
      <c r="BF170" s="4" t="str">
        <f t="shared" si="567"/>
        <v>1,250</v>
      </c>
      <c r="BG170" s="4" t="str">
        <f t="shared" si="568"/>
        <v>1,250</v>
      </c>
      <c r="BH170" s="4" t="str">
        <f t="shared" si="569"/>
        <v>1,250</v>
      </c>
      <c r="BI170" s="4" t="str">
        <f t="shared" si="570"/>
        <v>1,250</v>
      </c>
      <c r="BJ170" s="4" t="str">
        <f t="shared" si="571"/>
        <v>1,250</v>
      </c>
    </row>
    <row r="171" customHeight="1" spans="1:62">
      <c r="A171" s="35">
        <v>1022</v>
      </c>
      <c r="B171" s="40" t="s">
        <v>87</v>
      </c>
      <c r="C171" s="40"/>
      <c r="D171" s="46" t="s">
        <v>367</v>
      </c>
      <c r="E171" s="43">
        <v>3</v>
      </c>
      <c r="F171" s="35">
        <v>1</v>
      </c>
      <c r="G171" s="35">
        <f t="shared" si="572"/>
        <v>1</v>
      </c>
      <c r="H171" s="35">
        <v>1</v>
      </c>
      <c r="I171" s="35">
        <v>1</v>
      </c>
      <c r="J171" s="35">
        <v>1</v>
      </c>
      <c r="K171" s="35">
        <v>1</v>
      </c>
      <c r="L171" s="35">
        <v>1</v>
      </c>
      <c r="M171" s="35"/>
      <c r="N171">
        <f t="shared" si="573"/>
        <v>1500</v>
      </c>
      <c r="O171" s="35">
        <v>1</v>
      </c>
      <c r="P171" s="24">
        <f>ROUND(INDEX($C$2:$C$5,MATCH($E171,$B$2:$B$5,0))*$F171/SUMIFS($F:$F,$E:$E,$E171,$B:$B,$B171,O:O,1)*IF(B171=$B$10,0.9,1),0)</f>
        <v>250</v>
      </c>
      <c r="Q171" s="24">
        <f t="shared" ref="Q171:U171" si="702">IF($L171&lt;=Q$8,1,0)</f>
        <v>1</v>
      </c>
      <c r="R171" s="24">
        <f>ROUND(INDEX($C$2:$C$5,MATCH($E171,$B$2:$B$5,0))*$I171/SUMIFS($I:$I,$E:$E,$E171,$B:$B,$B171,Q:Q,1)*IF(B171=$B$10,0.9,1),0)</f>
        <v>300</v>
      </c>
      <c r="S171" s="24">
        <f t="shared" si="702"/>
        <v>1</v>
      </c>
      <c r="T171" s="24">
        <f>ROUND(INDEX($C$2:$C$5,MATCH($E171,$B$2:$B$5,0))*$J171/SUMIFS($J:$J,$E:$E,$E171,$B:$B,$B171,S:S,1)*IF(B171=$B$10,0.9,1),0)</f>
        <v>300</v>
      </c>
      <c r="U171" s="24">
        <f t="shared" si="702"/>
        <v>1</v>
      </c>
      <c r="V171" s="24">
        <f>ROUND(INDEX($C$2:$C$5,MATCH($E171,$B$2:$B$5,0))*$K171/SUMIFS($K:$K,$E:$E,$E171,$B:$B,$B171,U:U,1)*IF(B171=$B$10,0.9,1),0)</f>
        <v>300</v>
      </c>
      <c r="W171" s="24">
        <f t="shared" ref="W171:AA171" si="703">IF($L171&lt;=W$8,1,0)</f>
        <v>1</v>
      </c>
      <c r="X171" s="24">
        <f>ROUND(INDEX($C$2:$C$5,MATCH($E171,$B$2:$B$5,0))*$F171/SUMIFS($F:$F,$E:$E,$E171,$B:$B,$B171,W:W,1)*IF(B171=$B$10,0.9,1),0)</f>
        <v>250</v>
      </c>
      <c r="Y171" s="24">
        <f t="shared" si="703"/>
        <v>1</v>
      </c>
      <c r="Z171" s="24">
        <f>ROUND(INDEX($C$2:$C$5,MATCH($E171,$B$2:$B$5,0))*$G171/SUMIFS($G:$G,$E:$E,$E171,$B:$B,$B171,Y:Y,1)*IF(B171=$B$10,0.9,1),0)</f>
        <v>250</v>
      </c>
      <c r="AA171" s="24">
        <f t="shared" si="703"/>
        <v>1</v>
      </c>
      <c r="AB171" s="24">
        <f>ROUND(INDEX($C$2:$C$5,MATCH($E171,$B$2:$B$5,0))*$H171/SUMIFS($H:$H,$E:$E,$E171,$B:$B,$B171,AA:AA,1)*IF(B171=$B$10,0.9,1),0)</f>
        <v>250</v>
      </c>
      <c r="AC171" s="24">
        <f t="shared" ref="AC171:AG171" si="704">IF($L171&lt;=AC$8,1,0)</f>
        <v>1</v>
      </c>
      <c r="AD171" s="24">
        <f>ROUND(INDEX($C$2:$C$5,MATCH($E171,$B$2:$B$5,0))*$F171/SUMIFS($F:$F,$E:$E,$E171,$B:$B,$B171,AC:AC,1)*IF(B171=$B$10,0.9,1),0)</f>
        <v>250</v>
      </c>
      <c r="AE171" s="24">
        <f t="shared" si="704"/>
        <v>1</v>
      </c>
      <c r="AF171" s="24">
        <f>ROUND(INDEX($C$2:$C$5,MATCH($E171,$B$2:$B$5,0))*$G171/SUMIFS($G:$G,$E:$E,$E171,$B:$B,$B171,AE:AE,1)*IF(B171=$B$10,0.9,1),0)</f>
        <v>250</v>
      </c>
      <c r="AG171" s="24">
        <f t="shared" si="704"/>
        <v>1</v>
      </c>
      <c r="AH171" s="24">
        <f>ROUND(INDEX($C$2:$C$5,MATCH($E171,$B$2:$B$5,0))*$H171/SUMIFS($H:$H,$E:$E,$E171,$B:$B,$B171,AG:AG,1)*IF(B171=$B$10,0.9,1),0)</f>
        <v>250</v>
      </c>
      <c r="AI171" s="24">
        <f t="shared" ref="AI171:AM171" si="705">IF($L171&lt;=AI$8,1,0)</f>
        <v>1</v>
      </c>
      <c r="AJ171" s="24">
        <f>ROUND(INDEX($C$2:$C$5,MATCH($E171,$B$2:$B$5,0))*$F171/SUMIFS($F:$F,$E:$E,$E171,$B:$B,$B171,AI:AI,1)*IF(B171=$B$10,0.9,1),0)</f>
        <v>250</v>
      </c>
      <c r="AK171" s="24">
        <f t="shared" si="705"/>
        <v>1</v>
      </c>
      <c r="AL171" s="24">
        <f>ROUND(INDEX($C$2:$C$5,MATCH($E171,$B$2:$B$5,0))*$G171/SUMIFS($G:$G,$E:$E,$E171,$B:$B,$B171,AK:AK,1)*IF(B171=$B$10,0.9,1),0)</f>
        <v>250</v>
      </c>
      <c r="AM171" s="24">
        <f t="shared" si="705"/>
        <v>1</v>
      </c>
      <c r="AN171" s="24">
        <f>ROUND(INDEX($C$2:$C$5,MATCH($E171,$B$2:$B$5,0))*$H171/SUMIFS($H:$H,$E:$E,$E171,$B:$B,$B171,AM:AM,1)*IF(B171=$B$10,0.9,1),0)</f>
        <v>250</v>
      </c>
      <c r="AX171" s="4" t="str">
        <f t="shared" si="559"/>
        <v>1,250</v>
      </c>
      <c r="AY171" s="4" t="str">
        <f t="shared" si="560"/>
        <v>1,300</v>
      </c>
      <c r="AZ171" s="4" t="str">
        <f t="shared" si="561"/>
        <v>1,300</v>
      </c>
      <c r="BA171" s="4" t="str">
        <f t="shared" si="562"/>
        <v>1,300</v>
      </c>
      <c r="BB171" s="4" t="str">
        <f t="shared" si="563"/>
        <v>1,250</v>
      </c>
      <c r="BC171" s="4" t="str">
        <f t="shared" si="564"/>
        <v>1,250</v>
      </c>
      <c r="BD171" s="4" t="str">
        <f t="shared" si="565"/>
        <v>1,250</v>
      </c>
      <c r="BE171" s="4" t="str">
        <f t="shared" si="566"/>
        <v>1,250</v>
      </c>
      <c r="BF171" s="4" t="str">
        <f t="shared" si="567"/>
        <v>1,250</v>
      </c>
      <c r="BG171" s="4" t="str">
        <f t="shared" si="568"/>
        <v>1,250</v>
      </c>
      <c r="BH171" s="4" t="str">
        <f t="shared" si="569"/>
        <v>1,250</v>
      </c>
      <c r="BI171" s="4" t="str">
        <f t="shared" si="570"/>
        <v>1,250</v>
      </c>
      <c r="BJ171" s="4" t="str">
        <f t="shared" si="571"/>
        <v>1,250</v>
      </c>
    </row>
    <row r="172" customHeight="1" spans="1:62">
      <c r="A172" s="35">
        <v>1023</v>
      </c>
      <c r="B172" s="40" t="s">
        <v>87</v>
      </c>
      <c r="C172" s="40"/>
      <c r="D172" s="46" t="s">
        <v>368</v>
      </c>
      <c r="E172" s="43">
        <v>3</v>
      </c>
      <c r="F172" s="35">
        <v>1</v>
      </c>
      <c r="G172" s="35">
        <f t="shared" si="572"/>
        <v>1</v>
      </c>
      <c r="H172" s="35">
        <v>1</v>
      </c>
      <c r="I172" s="35">
        <v>1</v>
      </c>
      <c r="J172" s="35">
        <v>1</v>
      </c>
      <c r="K172" s="35">
        <v>1</v>
      </c>
      <c r="L172" s="35">
        <v>1</v>
      </c>
      <c r="M172" s="35"/>
      <c r="N172">
        <f t="shared" si="573"/>
        <v>1500</v>
      </c>
      <c r="O172" s="35">
        <v>1</v>
      </c>
      <c r="P172" s="24">
        <f>ROUND(INDEX($C$2:$C$5,MATCH($E172,$B$2:$B$5,0))*$F172/SUMIFS($F:$F,$E:$E,$E172,$B:$B,$B172,O:O,1)*IF(B172=$B$10,0.9,1),0)</f>
        <v>250</v>
      </c>
      <c r="Q172" s="24">
        <f t="shared" ref="Q172:U172" si="706">IF($L172&lt;=Q$8,1,0)</f>
        <v>1</v>
      </c>
      <c r="R172" s="24">
        <f>ROUND(INDEX($C$2:$C$5,MATCH($E172,$B$2:$B$5,0))*$I172/SUMIFS($I:$I,$E:$E,$E172,$B:$B,$B172,Q:Q,1)*IF(B172=$B$10,0.9,1),0)</f>
        <v>300</v>
      </c>
      <c r="S172" s="24">
        <f t="shared" si="706"/>
        <v>1</v>
      </c>
      <c r="T172" s="24">
        <f>ROUND(INDEX($C$2:$C$5,MATCH($E172,$B$2:$B$5,0))*$J172/SUMIFS($J:$J,$E:$E,$E172,$B:$B,$B172,S:S,1)*IF(B172=$B$10,0.9,1),0)</f>
        <v>300</v>
      </c>
      <c r="U172" s="24">
        <f t="shared" si="706"/>
        <v>1</v>
      </c>
      <c r="V172" s="24">
        <f>ROUND(INDEX($C$2:$C$5,MATCH($E172,$B$2:$B$5,0))*$K172/SUMIFS($K:$K,$E:$E,$E172,$B:$B,$B172,U:U,1)*IF(B172=$B$10,0.9,1),0)</f>
        <v>300</v>
      </c>
      <c r="W172" s="24">
        <f t="shared" ref="W172:AA172" si="707">IF($L172&lt;=W$8,1,0)</f>
        <v>1</v>
      </c>
      <c r="X172" s="24">
        <f>ROUND(INDEX($C$2:$C$5,MATCH($E172,$B$2:$B$5,0))*$F172/SUMIFS($F:$F,$E:$E,$E172,$B:$B,$B172,W:W,1)*IF(B172=$B$10,0.9,1),0)</f>
        <v>250</v>
      </c>
      <c r="Y172" s="24">
        <f t="shared" si="707"/>
        <v>1</v>
      </c>
      <c r="Z172" s="24">
        <f>ROUND(INDEX($C$2:$C$5,MATCH($E172,$B$2:$B$5,0))*$G172/SUMIFS($G:$G,$E:$E,$E172,$B:$B,$B172,Y:Y,1)*IF(B172=$B$10,0.9,1),0)</f>
        <v>250</v>
      </c>
      <c r="AA172" s="24">
        <f t="shared" si="707"/>
        <v>1</v>
      </c>
      <c r="AB172" s="24">
        <f>ROUND(INDEX($C$2:$C$5,MATCH($E172,$B$2:$B$5,0))*$H172/SUMIFS($H:$H,$E:$E,$E172,$B:$B,$B172,AA:AA,1)*IF(B172=$B$10,0.9,1),0)</f>
        <v>250</v>
      </c>
      <c r="AC172" s="24">
        <f t="shared" ref="AC172:AG172" si="708">IF($L172&lt;=AC$8,1,0)</f>
        <v>1</v>
      </c>
      <c r="AD172" s="24">
        <f>ROUND(INDEX($C$2:$C$5,MATCH($E172,$B$2:$B$5,0))*$F172/SUMIFS($F:$F,$E:$E,$E172,$B:$B,$B172,AC:AC,1)*IF(B172=$B$10,0.9,1),0)</f>
        <v>250</v>
      </c>
      <c r="AE172" s="24">
        <f t="shared" si="708"/>
        <v>1</v>
      </c>
      <c r="AF172" s="24">
        <f>ROUND(INDEX($C$2:$C$5,MATCH($E172,$B$2:$B$5,0))*$G172/SUMIFS($G:$G,$E:$E,$E172,$B:$B,$B172,AE:AE,1)*IF(B172=$B$10,0.9,1),0)</f>
        <v>250</v>
      </c>
      <c r="AG172" s="24">
        <f t="shared" si="708"/>
        <v>1</v>
      </c>
      <c r="AH172" s="24">
        <f>ROUND(INDEX($C$2:$C$5,MATCH($E172,$B$2:$B$5,0))*$H172/SUMIFS($H:$H,$E:$E,$E172,$B:$B,$B172,AG:AG,1)*IF(B172=$B$10,0.9,1),0)</f>
        <v>250</v>
      </c>
      <c r="AI172" s="24">
        <f t="shared" ref="AI172:AM172" si="709">IF($L172&lt;=AI$8,1,0)</f>
        <v>1</v>
      </c>
      <c r="AJ172" s="24">
        <f>ROUND(INDEX($C$2:$C$5,MATCH($E172,$B$2:$B$5,0))*$F172/SUMIFS($F:$F,$E:$E,$E172,$B:$B,$B172,AI:AI,1)*IF(B172=$B$10,0.9,1),0)</f>
        <v>250</v>
      </c>
      <c r="AK172" s="24">
        <f t="shared" si="709"/>
        <v>1</v>
      </c>
      <c r="AL172" s="24">
        <f>ROUND(INDEX($C$2:$C$5,MATCH($E172,$B$2:$B$5,0))*$G172/SUMIFS($G:$G,$E:$E,$E172,$B:$B,$B172,AK:AK,1)*IF(B172=$B$10,0.9,1),0)</f>
        <v>250</v>
      </c>
      <c r="AM172" s="24">
        <f t="shared" si="709"/>
        <v>1</v>
      </c>
      <c r="AN172" s="24">
        <f>ROUND(INDEX($C$2:$C$5,MATCH($E172,$B$2:$B$5,0))*$H172/SUMIFS($H:$H,$E:$E,$E172,$B:$B,$B172,AM:AM,1)*IF(B172=$B$10,0.9,1),0)</f>
        <v>250</v>
      </c>
      <c r="AX172" s="4" t="str">
        <f t="shared" si="559"/>
        <v>1,250</v>
      </c>
      <c r="AY172" s="4" t="str">
        <f t="shared" si="560"/>
        <v>1,300</v>
      </c>
      <c r="AZ172" s="4" t="str">
        <f t="shared" si="561"/>
        <v>1,300</v>
      </c>
      <c r="BA172" s="4" t="str">
        <f t="shared" si="562"/>
        <v>1,300</v>
      </c>
      <c r="BB172" s="4" t="str">
        <f t="shared" si="563"/>
        <v>1,250</v>
      </c>
      <c r="BC172" s="4" t="str">
        <f t="shared" si="564"/>
        <v>1,250</v>
      </c>
      <c r="BD172" s="4" t="str">
        <f t="shared" si="565"/>
        <v>1,250</v>
      </c>
      <c r="BE172" s="4" t="str">
        <f t="shared" si="566"/>
        <v>1,250</v>
      </c>
      <c r="BF172" s="4" t="str">
        <f t="shared" si="567"/>
        <v>1,250</v>
      </c>
      <c r="BG172" s="4" t="str">
        <f t="shared" si="568"/>
        <v>1,250</v>
      </c>
      <c r="BH172" s="4" t="str">
        <f t="shared" si="569"/>
        <v>1,250</v>
      </c>
      <c r="BI172" s="4" t="str">
        <f t="shared" si="570"/>
        <v>1,250</v>
      </c>
      <c r="BJ172" s="4" t="str">
        <f t="shared" si="571"/>
        <v>1,250</v>
      </c>
    </row>
    <row r="173" customHeight="1" spans="1:62">
      <c r="A173" s="35">
        <v>1024</v>
      </c>
      <c r="B173" s="40" t="s">
        <v>87</v>
      </c>
      <c r="C173" s="40"/>
      <c r="D173" s="46" t="s">
        <v>369</v>
      </c>
      <c r="E173" s="43">
        <v>3</v>
      </c>
      <c r="F173" s="35">
        <v>1</v>
      </c>
      <c r="G173" s="35">
        <f t="shared" si="572"/>
        <v>1</v>
      </c>
      <c r="H173" s="35">
        <v>1</v>
      </c>
      <c r="I173" s="35">
        <v>1</v>
      </c>
      <c r="J173" s="35">
        <v>1</v>
      </c>
      <c r="K173" s="35">
        <v>1</v>
      </c>
      <c r="L173" s="35">
        <v>1</v>
      </c>
      <c r="M173" s="35" t="s">
        <v>136</v>
      </c>
      <c r="N173">
        <f t="shared" si="573"/>
        <v>1500</v>
      </c>
      <c r="O173" s="35">
        <v>1</v>
      </c>
      <c r="P173" s="24">
        <f>ROUND(INDEX($C$2:$C$5,MATCH($E173,$B$2:$B$5,0))*$F173/SUMIFS($F:$F,$E:$E,$E173,$B:$B,$B173,O:O,1)*IF(B173=$B$10,0.9,1),0)</f>
        <v>250</v>
      </c>
      <c r="Q173" s="24">
        <f t="shared" ref="Q173:U173" si="710">IF($L173&lt;=Q$8,1,0)</f>
        <v>1</v>
      </c>
      <c r="R173" s="24">
        <f>ROUND(INDEX($C$2:$C$5,MATCH($E173,$B$2:$B$5,0))*$I173/SUMIFS($I:$I,$E:$E,$E173,$B:$B,$B173,Q:Q,1)*IF(B173=$B$10,0.9,1),0)</f>
        <v>300</v>
      </c>
      <c r="S173" s="24">
        <f t="shared" si="710"/>
        <v>1</v>
      </c>
      <c r="T173" s="24">
        <f>ROUND(INDEX($C$2:$C$5,MATCH($E173,$B$2:$B$5,0))*$J173/SUMIFS($J:$J,$E:$E,$E173,$B:$B,$B173,S:S,1)*IF(B173=$B$10,0.9,1),0)</f>
        <v>300</v>
      </c>
      <c r="U173" s="24">
        <f t="shared" si="710"/>
        <v>1</v>
      </c>
      <c r="V173" s="24">
        <f>ROUND(INDEX($C$2:$C$5,MATCH($E173,$B$2:$B$5,0))*$K173/SUMIFS($K:$K,$E:$E,$E173,$B:$B,$B173,U:U,1)*IF(B173=$B$10,0.9,1),0)</f>
        <v>300</v>
      </c>
      <c r="W173" s="24">
        <f t="shared" ref="W173:AA173" si="711">IF($L173&lt;=W$8,1,0)</f>
        <v>1</v>
      </c>
      <c r="X173" s="24">
        <f>ROUND(INDEX($C$2:$C$5,MATCH($E173,$B$2:$B$5,0))*$F173/SUMIFS($F:$F,$E:$E,$E173,$B:$B,$B173,W:W,1)*IF(B173=$B$10,0.9,1),0)</f>
        <v>250</v>
      </c>
      <c r="Y173" s="24">
        <f t="shared" si="711"/>
        <v>1</v>
      </c>
      <c r="Z173" s="24">
        <f>ROUND(INDEX($C$2:$C$5,MATCH($E173,$B$2:$B$5,0))*$G173/SUMIFS($G:$G,$E:$E,$E173,$B:$B,$B173,Y:Y,1)*IF(B173=$B$10,0.9,1),0)</f>
        <v>250</v>
      </c>
      <c r="AA173" s="24">
        <f t="shared" si="711"/>
        <v>1</v>
      </c>
      <c r="AB173" s="24">
        <f>ROUND(INDEX($C$2:$C$5,MATCH($E173,$B$2:$B$5,0))*$H173/SUMIFS($H:$H,$E:$E,$E173,$B:$B,$B173,AA:AA,1)*IF(B173=$B$10,0.9,1),0)</f>
        <v>250</v>
      </c>
      <c r="AC173" s="24">
        <f t="shared" ref="AC173:AG173" si="712">IF($L173&lt;=AC$8,1,0)</f>
        <v>1</v>
      </c>
      <c r="AD173" s="24">
        <f>ROUND(INDEX($C$2:$C$5,MATCH($E173,$B$2:$B$5,0))*$F173/SUMIFS($F:$F,$E:$E,$E173,$B:$B,$B173,AC:AC,1)*IF(B173=$B$10,0.9,1),0)</f>
        <v>250</v>
      </c>
      <c r="AE173" s="24">
        <f t="shared" si="712"/>
        <v>1</v>
      </c>
      <c r="AF173" s="24">
        <f>ROUND(INDEX($C$2:$C$5,MATCH($E173,$B$2:$B$5,0))*$G173/SUMIFS($G:$G,$E:$E,$E173,$B:$B,$B173,AE:AE,1)*IF(B173=$B$10,0.9,1),0)</f>
        <v>250</v>
      </c>
      <c r="AG173" s="24">
        <f t="shared" si="712"/>
        <v>1</v>
      </c>
      <c r="AH173" s="24">
        <f>ROUND(INDEX($C$2:$C$5,MATCH($E173,$B$2:$B$5,0))*$H173/SUMIFS($H:$H,$E:$E,$E173,$B:$B,$B173,AG:AG,1)*IF(B173=$B$10,0.9,1),0)</f>
        <v>250</v>
      </c>
      <c r="AI173" s="24">
        <f t="shared" ref="AI173:AM173" si="713">IF($L173&lt;=AI$8,1,0)</f>
        <v>1</v>
      </c>
      <c r="AJ173" s="24">
        <f>ROUND(INDEX($C$2:$C$5,MATCH($E173,$B$2:$B$5,0))*$F173/SUMIFS($F:$F,$E:$E,$E173,$B:$B,$B173,AI:AI,1)*IF(B173=$B$10,0.9,1),0)</f>
        <v>250</v>
      </c>
      <c r="AK173" s="24">
        <f t="shared" si="713"/>
        <v>1</v>
      </c>
      <c r="AL173" s="24">
        <f>ROUND(INDEX($C$2:$C$5,MATCH($E173,$B$2:$B$5,0))*$G173/SUMIFS($G:$G,$E:$E,$E173,$B:$B,$B173,AK:AK,1)*IF(B173=$B$10,0.9,1),0)</f>
        <v>250</v>
      </c>
      <c r="AM173" s="24">
        <f t="shared" si="713"/>
        <v>1</v>
      </c>
      <c r="AN173" s="24">
        <f>ROUND(INDEX($C$2:$C$5,MATCH($E173,$B$2:$B$5,0))*$H173/SUMIFS($H:$H,$E:$E,$E173,$B:$B,$B173,AM:AM,1)*IF(B173=$B$10,0.9,1),0)</f>
        <v>250</v>
      </c>
      <c r="AX173" s="4" t="str">
        <f t="shared" si="559"/>
        <v>1,250</v>
      </c>
      <c r="AY173" s="4" t="str">
        <f t="shared" si="560"/>
        <v>1,300</v>
      </c>
      <c r="AZ173" s="4" t="str">
        <f t="shared" si="561"/>
        <v>1,300</v>
      </c>
      <c r="BA173" s="4" t="str">
        <f t="shared" si="562"/>
        <v>1,300</v>
      </c>
      <c r="BB173" s="4" t="str">
        <f t="shared" si="563"/>
        <v>1,250</v>
      </c>
      <c r="BC173" s="4" t="str">
        <f t="shared" si="564"/>
        <v>1,250</v>
      </c>
      <c r="BD173" s="4" t="str">
        <f t="shared" si="565"/>
        <v>1,250</v>
      </c>
      <c r="BE173" s="4" t="str">
        <f t="shared" si="566"/>
        <v>1,250</v>
      </c>
      <c r="BF173" s="4" t="str">
        <f t="shared" si="567"/>
        <v>1,250</v>
      </c>
      <c r="BG173" s="4" t="str">
        <f t="shared" si="568"/>
        <v>1,250</v>
      </c>
      <c r="BH173" s="4" t="str">
        <f t="shared" si="569"/>
        <v>1,250</v>
      </c>
      <c r="BI173" s="4" t="str">
        <f t="shared" si="570"/>
        <v>1,250</v>
      </c>
      <c r="BJ173" s="4" t="str">
        <f t="shared" si="571"/>
        <v>1,250</v>
      </c>
    </row>
    <row r="174" customHeight="1" spans="1:62">
      <c r="A174" s="35">
        <v>1031</v>
      </c>
      <c r="B174" s="40" t="s">
        <v>87</v>
      </c>
      <c r="C174" s="40"/>
      <c r="D174" s="44" t="s">
        <v>404</v>
      </c>
      <c r="E174" s="43">
        <v>2</v>
      </c>
      <c r="F174" s="35">
        <v>1</v>
      </c>
      <c r="G174" s="35">
        <f t="shared" si="572"/>
        <v>1</v>
      </c>
      <c r="H174" s="35">
        <v>1</v>
      </c>
      <c r="I174" s="35">
        <v>1</v>
      </c>
      <c r="J174" s="35">
        <v>1</v>
      </c>
      <c r="K174" s="35">
        <v>1</v>
      </c>
      <c r="L174" s="35">
        <v>1</v>
      </c>
      <c r="M174" s="35"/>
      <c r="N174">
        <f t="shared" si="573"/>
        <v>4500</v>
      </c>
      <c r="O174" s="35">
        <v>1</v>
      </c>
      <c r="P174" s="24">
        <f>ROUND(INDEX($C$2:$C$5,MATCH($E174,$B$2:$B$5,0))*$F174/SUMIFS($F:$F,$E:$E,$E174,$B:$B,$B174,O:O,1)*IF(B174=$B$10,0.9,1),0)</f>
        <v>750</v>
      </c>
      <c r="Q174" s="24">
        <f t="shared" ref="Q174:U174" si="714">IF($L174&lt;=Q$8,1,0)</f>
        <v>1</v>
      </c>
      <c r="R174" s="24">
        <f>ROUND(INDEX($C$2:$C$5,MATCH($E174,$B$2:$B$5,0))*$I174/SUMIFS($I:$I,$E:$E,$E174,$B:$B,$B174,Q:Q,1)*IF(B174=$B$10,0.9,1),0)</f>
        <v>750</v>
      </c>
      <c r="S174" s="24">
        <f t="shared" si="714"/>
        <v>1</v>
      </c>
      <c r="T174" s="24">
        <f>ROUND(INDEX($C$2:$C$5,MATCH($E174,$B$2:$B$5,0))*$J174/SUMIFS($J:$J,$E:$E,$E174,$B:$B,$B174,S:S,1)*IF(B174=$B$10,0.9,1),0)</f>
        <v>750</v>
      </c>
      <c r="U174" s="24">
        <f t="shared" si="714"/>
        <v>1</v>
      </c>
      <c r="V174" s="24">
        <f>ROUND(INDEX($C$2:$C$5,MATCH($E174,$B$2:$B$5,0))*$K174/SUMIFS($K:$K,$E:$E,$E174,$B:$B,$B174,U:U,1)*IF(B174=$B$10,0.9,1),0)</f>
        <v>750</v>
      </c>
      <c r="W174" s="24">
        <f t="shared" ref="W174:AA174" si="715">IF($L174&lt;=W$8,1,0)</f>
        <v>1</v>
      </c>
      <c r="X174" s="24">
        <f>ROUND(INDEX($C$2:$C$5,MATCH($E174,$B$2:$B$5,0))*$F174/SUMIFS($F:$F,$E:$E,$E174,$B:$B,$B174,W:W,1)*IF(B174=$B$10,0.9,1),0)</f>
        <v>750</v>
      </c>
      <c r="Y174" s="24">
        <f t="shared" si="715"/>
        <v>1</v>
      </c>
      <c r="Z174" s="24">
        <f>ROUND(INDEX($C$2:$C$5,MATCH($E174,$B$2:$B$5,0))*$G174/SUMIFS($G:$G,$E:$E,$E174,$B:$B,$B174,Y:Y,1)*IF(B174=$B$10,0.9,1),0)</f>
        <v>750</v>
      </c>
      <c r="AA174" s="24">
        <f t="shared" si="715"/>
        <v>1</v>
      </c>
      <c r="AB174" s="24">
        <f>ROUND(INDEX($C$2:$C$5,MATCH($E174,$B$2:$B$5,0))*$H174/SUMIFS($H:$H,$E:$E,$E174,$B:$B,$B174,AA:AA,1)*IF(B174=$B$10,0.9,1),0)</f>
        <v>750</v>
      </c>
      <c r="AC174" s="24">
        <f t="shared" ref="AC174:AG174" si="716">IF($L174&lt;=AC$8,1,0)</f>
        <v>1</v>
      </c>
      <c r="AD174" s="24">
        <f>ROUND(INDEX($C$2:$C$5,MATCH($E174,$B$2:$B$5,0))*$F174/SUMIFS($F:$F,$E:$E,$E174,$B:$B,$B174,AC:AC,1)*IF(B174=$B$10,0.9,1),0)</f>
        <v>750</v>
      </c>
      <c r="AE174" s="24">
        <f t="shared" si="716"/>
        <v>1</v>
      </c>
      <c r="AF174" s="24">
        <f>ROUND(INDEX($C$2:$C$5,MATCH($E174,$B$2:$B$5,0))*$G174/SUMIFS($G:$G,$E:$E,$E174,$B:$B,$B174,AE:AE,1)*IF(B174=$B$10,0.9,1),0)</f>
        <v>750</v>
      </c>
      <c r="AG174" s="24">
        <f t="shared" si="716"/>
        <v>1</v>
      </c>
      <c r="AH174" s="24">
        <f>ROUND(INDEX($C$2:$C$5,MATCH($E174,$B$2:$B$5,0))*$H174/SUMIFS($H:$H,$E:$E,$E174,$B:$B,$B174,AG:AG,1)*IF(B174=$B$10,0.9,1),0)</f>
        <v>750</v>
      </c>
      <c r="AI174" s="24">
        <f t="shared" ref="AI174:AM174" si="717">IF($L174&lt;=AI$8,1,0)</f>
        <v>1</v>
      </c>
      <c r="AJ174" s="24">
        <f>ROUND(INDEX($C$2:$C$5,MATCH($E174,$B$2:$B$5,0))*$F174/SUMIFS($F:$F,$E:$E,$E174,$B:$B,$B174,AI:AI,1)*IF(B174=$B$10,0.9,1),0)</f>
        <v>750</v>
      </c>
      <c r="AK174" s="24">
        <f t="shared" si="717"/>
        <v>1</v>
      </c>
      <c r="AL174" s="24">
        <f>ROUND(INDEX($C$2:$C$5,MATCH($E174,$B$2:$B$5,0))*$G174/SUMIFS($G:$G,$E:$E,$E174,$B:$B,$B174,AK:AK,1)*IF(B174=$B$10,0.9,1),0)</f>
        <v>750</v>
      </c>
      <c r="AM174" s="24">
        <f t="shared" si="717"/>
        <v>1</v>
      </c>
      <c r="AN174" s="24">
        <f>ROUND(INDEX($C$2:$C$5,MATCH($E174,$B$2:$B$5,0))*$H174/SUMIFS($H:$H,$E:$E,$E174,$B:$B,$B174,AM:AM,1)*IF(B174=$B$10,0.9,1),0)</f>
        <v>750</v>
      </c>
      <c r="AX174" s="4" t="str">
        <f t="shared" si="559"/>
        <v>1,750</v>
      </c>
      <c r="AY174" s="4" t="str">
        <f t="shared" si="560"/>
        <v>1,750</v>
      </c>
      <c r="AZ174" s="4" t="str">
        <f t="shared" si="561"/>
        <v>1,750</v>
      </c>
      <c r="BA174" s="4" t="str">
        <f t="shared" si="562"/>
        <v>1,750</v>
      </c>
      <c r="BB174" s="4" t="str">
        <f t="shared" si="563"/>
        <v>1,750</v>
      </c>
      <c r="BC174" s="4" t="str">
        <f t="shared" si="564"/>
        <v>1,750</v>
      </c>
      <c r="BD174" s="4" t="str">
        <f t="shared" si="565"/>
        <v>1,750</v>
      </c>
      <c r="BE174" s="4" t="str">
        <f t="shared" si="566"/>
        <v>1,750</v>
      </c>
      <c r="BF174" s="4" t="str">
        <f t="shared" si="567"/>
        <v>1,750</v>
      </c>
      <c r="BG174" s="4" t="str">
        <f t="shared" si="568"/>
        <v>1,750</v>
      </c>
      <c r="BH174" s="4" t="str">
        <f t="shared" si="569"/>
        <v>1,750</v>
      </c>
      <c r="BI174" s="4" t="str">
        <f t="shared" si="570"/>
        <v>1,750</v>
      </c>
      <c r="BJ174" s="4" t="str">
        <f t="shared" si="571"/>
        <v>1,750</v>
      </c>
    </row>
    <row r="175" customHeight="1" spans="1:62">
      <c r="A175" s="35">
        <v>1032</v>
      </c>
      <c r="B175" s="40" t="s">
        <v>87</v>
      </c>
      <c r="C175" s="40"/>
      <c r="D175" s="44" t="s">
        <v>405</v>
      </c>
      <c r="E175" s="45">
        <v>2</v>
      </c>
      <c r="F175" s="35">
        <v>1</v>
      </c>
      <c r="G175" s="35">
        <f t="shared" si="572"/>
        <v>1</v>
      </c>
      <c r="H175" s="35">
        <v>1</v>
      </c>
      <c r="I175" s="35">
        <v>1</v>
      </c>
      <c r="J175" s="35">
        <v>1</v>
      </c>
      <c r="K175" s="35">
        <v>1</v>
      </c>
      <c r="L175" s="35">
        <v>1</v>
      </c>
      <c r="M175" s="35"/>
      <c r="N175">
        <f t="shared" si="573"/>
        <v>4500</v>
      </c>
      <c r="O175" s="35">
        <v>1</v>
      </c>
      <c r="P175" s="24">
        <f>ROUND(INDEX($C$2:$C$5,MATCH($E175,$B$2:$B$5,0))*$F175/SUMIFS($F:$F,$E:$E,$E175,$B:$B,$B175,O:O,1)*IF(B175=$B$10,0.9,1),0)</f>
        <v>750</v>
      </c>
      <c r="Q175" s="24">
        <f t="shared" ref="Q175:U175" si="718">IF($L175&lt;=Q$8,1,0)</f>
        <v>1</v>
      </c>
      <c r="R175" s="24">
        <f>ROUND(INDEX($C$2:$C$5,MATCH($E175,$B$2:$B$5,0))*$I175/SUMIFS($I:$I,$E:$E,$E175,$B:$B,$B175,Q:Q,1)*IF(B175=$B$10,0.9,1),0)</f>
        <v>750</v>
      </c>
      <c r="S175" s="24">
        <f t="shared" si="718"/>
        <v>1</v>
      </c>
      <c r="T175" s="24">
        <f>ROUND(INDEX($C$2:$C$5,MATCH($E175,$B$2:$B$5,0))*$J175/SUMIFS($J:$J,$E:$E,$E175,$B:$B,$B175,S:S,1)*IF(B175=$B$10,0.9,1),0)</f>
        <v>750</v>
      </c>
      <c r="U175" s="24">
        <f t="shared" si="718"/>
        <v>1</v>
      </c>
      <c r="V175" s="24">
        <f>ROUND(INDEX($C$2:$C$5,MATCH($E175,$B$2:$B$5,0))*$K175/SUMIFS($K:$K,$E:$E,$E175,$B:$B,$B175,U:U,1)*IF(B175=$B$10,0.9,1),0)</f>
        <v>750</v>
      </c>
      <c r="W175" s="24">
        <f t="shared" ref="W175:AA175" si="719">IF($L175&lt;=W$8,1,0)</f>
        <v>1</v>
      </c>
      <c r="X175" s="24">
        <f>ROUND(INDEX($C$2:$C$5,MATCH($E175,$B$2:$B$5,0))*$F175/SUMIFS($F:$F,$E:$E,$E175,$B:$B,$B175,W:W,1)*IF(B175=$B$10,0.9,1),0)</f>
        <v>750</v>
      </c>
      <c r="Y175" s="24">
        <f t="shared" si="719"/>
        <v>1</v>
      </c>
      <c r="Z175" s="24">
        <f>ROUND(INDEX($C$2:$C$5,MATCH($E175,$B$2:$B$5,0))*$G175/SUMIFS($G:$G,$E:$E,$E175,$B:$B,$B175,Y:Y,1)*IF(B175=$B$10,0.9,1),0)</f>
        <v>750</v>
      </c>
      <c r="AA175" s="24">
        <f t="shared" si="719"/>
        <v>1</v>
      </c>
      <c r="AB175" s="24">
        <f>ROUND(INDEX($C$2:$C$5,MATCH($E175,$B$2:$B$5,0))*$H175/SUMIFS($H:$H,$E:$E,$E175,$B:$B,$B175,AA:AA,1)*IF(B175=$B$10,0.9,1),0)</f>
        <v>750</v>
      </c>
      <c r="AC175" s="24">
        <f t="shared" ref="AC175:AG175" si="720">IF($L175&lt;=AC$8,1,0)</f>
        <v>1</v>
      </c>
      <c r="AD175" s="24">
        <f>ROUND(INDEX($C$2:$C$5,MATCH($E175,$B$2:$B$5,0))*$F175/SUMIFS($F:$F,$E:$E,$E175,$B:$B,$B175,AC:AC,1)*IF(B175=$B$10,0.9,1),0)</f>
        <v>750</v>
      </c>
      <c r="AE175" s="24">
        <f t="shared" si="720"/>
        <v>1</v>
      </c>
      <c r="AF175" s="24">
        <f>ROUND(INDEX($C$2:$C$5,MATCH($E175,$B$2:$B$5,0))*$G175/SUMIFS($G:$G,$E:$E,$E175,$B:$B,$B175,AE:AE,1)*IF(B175=$B$10,0.9,1),0)</f>
        <v>750</v>
      </c>
      <c r="AG175" s="24">
        <f t="shared" si="720"/>
        <v>1</v>
      </c>
      <c r="AH175" s="24">
        <f>ROUND(INDEX($C$2:$C$5,MATCH($E175,$B$2:$B$5,0))*$H175/SUMIFS($H:$H,$E:$E,$E175,$B:$B,$B175,AG:AG,1)*IF(B175=$B$10,0.9,1),0)</f>
        <v>750</v>
      </c>
      <c r="AI175" s="24">
        <f t="shared" ref="AI175:AM175" si="721">IF($L175&lt;=AI$8,1,0)</f>
        <v>1</v>
      </c>
      <c r="AJ175" s="24">
        <f>ROUND(INDEX($C$2:$C$5,MATCH($E175,$B$2:$B$5,0))*$F175/SUMIFS($F:$F,$E:$E,$E175,$B:$B,$B175,AI:AI,1)*IF(B175=$B$10,0.9,1),0)</f>
        <v>750</v>
      </c>
      <c r="AK175" s="24">
        <f t="shared" si="721"/>
        <v>1</v>
      </c>
      <c r="AL175" s="24">
        <f>ROUND(INDEX($C$2:$C$5,MATCH($E175,$B$2:$B$5,0))*$G175/SUMIFS($G:$G,$E:$E,$E175,$B:$B,$B175,AK:AK,1)*IF(B175=$B$10,0.9,1),0)</f>
        <v>750</v>
      </c>
      <c r="AM175" s="24">
        <f t="shared" si="721"/>
        <v>1</v>
      </c>
      <c r="AN175" s="24">
        <f>ROUND(INDEX($C$2:$C$5,MATCH($E175,$B$2:$B$5,0))*$H175/SUMIFS($H:$H,$E:$E,$E175,$B:$B,$B175,AM:AM,1)*IF(B175=$B$10,0.9,1),0)</f>
        <v>750</v>
      </c>
      <c r="AX175" s="4" t="str">
        <f t="shared" si="559"/>
        <v>1,750</v>
      </c>
      <c r="AY175" s="4" t="str">
        <f t="shared" si="560"/>
        <v>1,750</v>
      </c>
      <c r="AZ175" s="4" t="str">
        <f t="shared" si="561"/>
        <v>1,750</v>
      </c>
      <c r="BA175" s="4" t="str">
        <f t="shared" si="562"/>
        <v>1,750</v>
      </c>
      <c r="BB175" s="4" t="str">
        <f t="shared" si="563"/>
        <v>1,750</v>
      </c>
      <c r="BC175" s="4" t="str">
        <f t="shared" si="564"/>
        <v>1,750</v>
      </c>
      <c r="BD175" s="4" t="str">
        <f t="shared" si="565"/>
        <v>1,750</v>
      </c>
      <c r="BE175" s="4" t="str">
        <f t="shared" si="566"/>
        <v>1,750</v>
      </c>
      <c r="BF175" s="4" t="str">
        <f t="shared" si="567"/>
        <v>1,750</v>
      </c>
      <c r="BG175" s="4" t="str">
        <f t="shared" si="568"/>
        <v>1,750</v>
      </c>
      <c r="BH175" s="4" t="str">
        <f t="shared" si="569"/>
        <v>1,750</v>
      </c>
      <c r="BI175" s="4" t="str">
        <f t="shared" si="570"/>
        <v>1,750</v>
      </c>
      <c r="BJ175" s="4" t="str">
        <f t="shared" si="571"/>
        <v>1,750</v>
      </c>
    </row>
    <row r="176" customHeight="1" spans="1:62">
      <c r="A176" s="35">
        <v>1041</v>
      </c>
      <c r="B176" s="40" t="s">
        <v>87</v>
      </c>
      <c r="C176" s="40"/>
      <c r="D176" s="46" t="s">
        <v>406</v>
      </c>
      <c r="E176" s="45">
        <v>3</v>
      </c>
      <c r="F176" s="35">
        <v>1</v>
      </c>
      <c r="G176" s="35">
        <f t="shared" si="572"/>
        <v>1</v>
      </c>
      <c r="H176" s="35">
        <v>1</v>
      </c>
      <c r="I176" s="35">
        <v>1</v>
      </c>
      <c r="J176" s="35">
        <v>1</v>
      </c>
      <c r="K176" s="35">
        <v>1</v>
      </c>
      <c r="L176" s="35">
        <v>1</v>
      </c>
      <c r="M176" s="35"/>
      <c r="N176">
        <f t="shared" si="573"/>
        <v>1500</v>
      </c>
      <c r="O176" s="35">
        <v>1</v>
      </c>
      <c r="P176" s="24">
        <f>ROUND(INDEX($C$2:$C$5,MATCH($E176,$B$2:$B$5,0))*$F176/SUMIFS($F:$F,$E:$E,$E176,$B:$B,$B176,O:O,1)*IF(B176=$B$10,0.9,1),0)</f>
        <v>250</v>
      </c>
      <c r="Q176" s="24">
        <f t="shared" ref="Q176:U176" si="722">IF($L176&lt;=Q$8,1,0)</f>
        <v>1</v>
      </c>
      <c r="R176" s="24">
        <f>ROUND(INDEX($C$2:$C$5,MATCH($E176,$B$2:$B$5,0))*$I176/SUMIFS($I:$I,$E:$E,$E176,$B:$B,$B176,Q:Q,1)*IF(B176=$B$10,0.9,1),0)</f>
        <v>300</v>
      </c>
      <c r="S176" s="24">
        <f t="shared" si="722"/>
        <v>1</v>
      </c>
      <c r="T176" s="24">
        <f>ROUND(INDEX($C$2:$C$5,MATCH($E176,$B$2:$B$5,0))*$J176/SUMIFS($J:$J,$E:$E,$E176,$B:$B,$B176,S:S,1)*IF(B176=$B$10,0.9,1),0)</f>
        <v>300</v>
      </c>
      <c r="U176" s="24">
        <f t="shared" si="722"/>
        <v>1</v>
      </c>
      <c r="V176" s="24">
        <f>ROUND(INDEX($C$2:$C$5,MATCH($E176,$B$2:$B$5,0))*$K176/SUMIFS($K:$K,$E:$E,$E176,$B:$B,$B176,U:U,1)*IF(B176=$B$10,0.9,1),0)</f>
        <v>300</v>
      </c>
      <c r="W176" s="24">
        <f t="shared" ref="W176:AA176" si="723">IF($L176&lt;=W$8,1,0)</f>
        <v>1</v>
      </c>
      <c r="X176" s="24">
        <f>ROUND(INDEX($C$2:$C$5,MATCH($E176,$B$2:$B$5,0))*$F176/SUMIFS($F:$F,$E:$E,$E176,$B:$B,$B176,W:W,1)*IF(B176=$B$10,0.9,1),0)</f>
        <v>250</v>
      </c>
      <c r="Y176" s="24">
        <f t="shared" si="723"/>
        <v>1</v>
      </c>
      <c r="Z176" s="24">
        <f>ROUND(INDEX($C$2:$C$5,MATCH($E176,$B$2:$B$5,0))*$G176/SUMIFS($G:$G,$E:$E,$E176,$B:$B,$B176,Y:Y,1)*IF(B176=$B$10,0.9,1),0)</f>
        <v>250</v>
      </c>
      <c r="AA176" s="24">
        <f t="shared" si="723"/>
        <v>1</v>
      </c>
      <c r="AB176" s="24">
        <f>ROUND(INDEX($C$2:$C$5,MATCH($E176,$B$2:$B$5,0))*$H176/SUMIFS($H:$H,$E:$E,$E176,$B:$B,$B176,AA:AA,1)*IF(B176=$B$10,0.9,1),0)</f>
        <v>250</v>
      </c>
      <c r="AC176" s="24">
        <f t="shared" ref="AC176:AG176" si="724">IF($L176&lt;=AC$8,1,0)</f>
        <v>1</v>
      </c>
      <c r="AD176" s="24">
        <f>ROUND(INDEX($C$2:$C$5,MATCH($E176,$B$2:$B$5,0))*$F176/SUMIFS($F:$F,$E:$E,$E176,$B:$B,$B176,AC:AC,1)*IF(B176=$B$10,0.9,1),0)</f>
        <v>250</v>
      </c>
      <c r="AE176" s="24">
        <f t="shared" si="724"/>
        <v>1</v>
      </c>
      <c r="AF176" s="24">
        <f>ROUND(INDEX($C$2:$C$5,MATCH($E176,$B$2:$B$5,0))*$G176/SUMIFS($G:$G,$E:$E,$E176,$B:$B,$B176,AE:AE,1)*IF(B176=$B$10,0.9,1),0)</f>
        <v>250</v>
      </c>
      <c r="AG176" s="24">
        <f t="shared" si="724"/>
        <v>1</v>
      </c>
      <c r="AH176" s="24">
        <f>ROUND(INDEX($C$2:$C$5,MATCH($E176,$B$2:$B$5,0))*$H176/SUMIFS($H:$H,$E:$E,$E176,$B:$B,$B176,AG:AG,1)*IF(B176=$B$10,0.9,1),0)</f>
        <v>250</v>
      </c>
      <c r="AI176" s="24">
        <f t="shared" ref="AI176:AM176" si="725">IF($L176&lt;=AI$8,1,0)</f>
        <v>1</v>
      </c>
      <c r="AJ176" s="24">
        <f>ROUND(INDEX($C$2:$C$5,MATCH($E176,$B$2:$B$5,0))*$F176/SUMIFS($F:$F,$E:$E,$E176,$B:$B,$B176,AI:AI,1)*IF(B176=$B$10,0.9,1),0)</f>
        <v>250</v>
      </c>
      <c r="AK176" s="24">
        <f t="shared" si="725"/>
        <v>1</v>
      </c>
      <c r="AL176" s="24">
        <f>ROUND(INDEX($C$2:$C$5,MATCH($E176,$B$2:$B$5,0))*$G176/SUMIFS($G:$G,$E:$E,$E176,$B:$B,$B176,AK:AK,1)*IF(B176=$B$10,0.9,1),0)</f>
        <v>250</v>
      </c>
      <c r="AM176" s="24">
        <f t="shared" si="725"/>
        <v>1</v>
      </c>
      <c r="AN176" s="24">
        <f>ROUND(INDEX($C$2:$C$5,MATCH($E176,$B$2:$B$5,0))*$H176/SUMIFS($H:$H,$E:$E,$E176,$B:$B,$B176,AM:AM,1)*IF(B176=$B$10,0.9,1),0)</f>
        <v>250</v>
      </c>
      <c r="AX176" s="4" t="str">
        <f t="shared" si="559"/>
        <v>1,250</v>
      </c>
      <c r="AY176" s="4" t="str">
        <f t="shared" si="560"/>
        <v>1,300</v>
      </c>
      <c r="AZ176" s="4" t="str">
        <f t="shared" si="561"/>
        <v>1,300</v>
      </c>
      <c r="BA176" s="4" t="str">
        <f t="shared" si="562"/>
        <v>1,300</v>
      </c>
      <c r="BB176" s="4" t="str">
        <f t="shared" si="563"/>
        <v>1,250</v>
      </c>
      <c r="BC176" s="4" t="str">
        <f t="shared" si="564"/>
        <v>1,250</v>
      </c>
      <c r="BD176" s="4" t="str">
        <f t="shared" si="565"/>
        <v>1,250</v>
      </c>
      <c r="BE176" s="4" t="str">
        <f t="shared" si="566"/>
        <v>1,250</v>
      </c>
      <c r="BF176" s="4" t="str">
        <f t="shared" si="567"/>
        <v>1,250</v>
      </c>
      <c r="BG176" s="4" t="str">
        <f t="shared" si="568"/>
        <v>1,250</v>
      </c>
      <c r="BH176" s="4" t="str">
        <f t="shared" si="569"/>
        <v>1,250</v>
      </c>
      <c r="BI176" s="4" t="str">
        <f t="shared" si="570"/>
        <v>1,250</v>
      </c>
      <c r="BJ176" s="4" t="str">
        <f t="shared" si="571"/>
        <v>1,250</v>
      </c>
    </row>
    <row r="177" customHeight="1" spans="1:62">
      <c r="A177" s="35">
        <v>1042</v>
      </c>
      <c r="B177" s="40" t="s">
        <v>87</v>
      </c>
      <c r="C177" s="40" t="s">
        <v>218</v>
      </c>
      <c r="D177" s="46" t="s">
        <v>407</v>
      </c>
      <c r="E177" s="43">
        <v>3</v>
      </c>
      <c r="F177" s="35">
        <v>1</v>
      </c>
      <c r="G177" s="35">
        <f t="shared" si="572"/>
        <v>1</v>
      </c>
      <c r="H177" s="35">
        <v>1</v>
      </c>
      <c r="I177" s="35">
        <v>1</v>
      </c>
      <c r="J177" s="35">
        <v>1</v>
      </c>
      <c r="K177" s="35">
        <v>1</v>
      </c>
      <c r="L177" s="35">
        <v>2</v>
      </c>
      <c r="M177" s="35"/>
      <c r="N177">
        <f t="shared" si="573"/>
        <v>1500</v>
      </c>
      <c r="O177" s="35">
        <v>1</v>
      </c>
      <c r="P177" s="24">
        <f>ROUND(INDEX($C$2:$C$5,MATCH($E177,$B$2:$B$5,0))*$F177/SUMIFS($F:$F,$E:$E,$E177,$B:$B,$B177,O:O,1)*IF(B177=$B$10,0.9,1),0)</f>
        <v>250</v>
      </c>
      <c r="Q177" s="24">
        <f t="shared" ref="Q177:U177" si="726">IF($L177&lt;=Q$8,1,0)</f>
        <v>0</v>
      </c>
      <c r="R177" s="24">
        <f>ROUND(INDEX($C$2:$C$5,MATCH($E177,$B$2:$B$5,0))*$I177/SUMIFS($I:$I,$E:$E,$E177,$B:$B,$B177,Q:Q,1)*IF(B177=$B$10,0.9,1),0)</f>
        <v>300</v>
      </c>
      <c r="S177" s="24">
        <f t="shared" si="726"/>
        <v>0</v>
      </c>
      <c r="T177" s="24">
        <f>ROUND(INDEX($C$2:$C$5,MATCH($E177,$B$2:$B$5,0))*$J177/SUMIFS($J:$J,$E:$E,$E177,$B:$B,$B177,S:S,1)*IF(B177=$B$10,0.9,1),0)</f>
        <v>300</v>
      </c>
      <c r="U177" s="24">
        <f t="shared" si="726"/>
        <v>0</v>
      </c>
      <c r="V177" s="24">
        <f>ROUND(INDEX($C$2:$C$5,MATCH($E177,$B$2:$B$5,0))*$K177/SUMIFS($K:$K,$E:$E,$E177,$B:$B,$B177,U:U,1)*IF(B177=$B$10,0.9,1),0)</f>
        <v>300</v>
      </c>
      <c r="W177" s="24">
        <f t="shared" ref="W177:AA177" si="727">IF($L177&lt;=W$8,1,0)</f>
        <v>1</v>
      </c>
      <c r="X177" s="24">
        <f>ROUND(INDEX($C$2:$C$5,MATCH($E177,$B$2:$B$5,0))*$F177/SUMIFS($F:$F,$E:$E,$E177,$B:$B,$B177,W:W,1)*IF(B177=$B$10,0.9,1),0)</f>
        <v>250</v>
      </c>
      <c r="Y177" s="24">
        <f t="shared" si="727"/>
        <v>1</v>
      </c>
      <c r="Z177" s="24">
        <f>ROUND(INDEX($C$2:$C$5,MATCH($E177,$B$2:$B$5,0))*$G177/SUMIFS($G:$G,$E:$E,$E177,$B:$B,$B177,Y:Y,1)*IF(B177=$B$10,0.9,1),0)</f>
        <v>250</v>
      </c>
      <c r="AA177" s="24">
        <f t="shared" si="727"/>
        <v>1</v>
      </c>
      <c r="AB177" s="24">
        <f>ROUND(INDEX($C$2:$C$5,MATCH($E177,$B$2:$B$5,0))*$H177/SUMIFS($H:$H,$E:$E,$E177,$B:$B,$B177,AA:AA,1)*IF(B177=$B$10,0.9,1),0)</f>
        <v>250</v>
      </c>
      <c r="AC177" s="24">
        <f t="shared" ref="AC177:AG177" si="728">IF($L177&lt;=AC$8,1,0)</f>
        <v>1</v>
      </c>
      <c r="AD177" s="24">
        <f>ROUND(INDEX($C$2:$C$5,MATCH($E177,$B$2:$B$5,0))*$F177/SUMIFS($F:$F,$E:$E,$E177,$B:$B,$B177,AC:AC,1)*IF(B177=$B$10,0.9,1),0)</f>
        <v>250</v>
      </c>
      <c r="AE177" s="24">
        <f t="shared" si="728"/>
        <v>1</v>
      </c>
      <c r="AF177" s="24">
        <f>ROUND(INDEX($C$2:$C$5,MATCH($E177,$B$2:$B$5,0))*$G177/SUMIFS($G:$G,$E:$E,$E177,$B:$B,$B177,AE:AE,1)*IF(B177=$B$10,0.9,1),0)</f>
        <v>250</v>
      </c>
      <c r="AG177" s="24">
        <f t="shared" si="728"/>
        <v>1</v>
      </c>
      <c r="AH177" s="24">
        <f>ROUND(INDEX($C$2:$C$5,MATCH($E177,$B$2:$B$5,0))*$H177/SUMIFS($H:$H,$E:$E,$E177,$B:$B,$B177,AG:AG,1)*IF(B177=$B$10,0.9,1),0)</f>
        <v>250</v>
      </c>
      <c r="AI177" s="24">
        <f t="shared" ref="AI177:AM177" si="729">IF($L177&lt;=AI$8,1,0)</f>
        <v>1</v>
      </c>
      <c r="AJ177" s="24">
        <f>ROUND(INDEX($C$2:$C$5,MATCH($E177,$B$2:$B$5,0))*$F177/SUMIFS($F:$F,$E:$E,$E177,$B:$B,$B177,AI:AI,1)*IF(B177=$B$10,0.9,1),0)</f>
        <v>250</v>
      </c>
      <c r="AK177" s="24">
        <f t="shared" si="729"/>
        <v>1</v>
      </c>
      <c r="AL177" s="24">
        <f>ROUND(INDEX($C$2:$C$5,MATCH($E177,$B$2:$B$5,0))*$G177/SUMIFS($G:$G,$E:$E,$E177,$B:$B,$B177,AK:AK,1)*IF(B177=$B$10,0.9,1),0)</f>
        <v>250</v>
      </c>
      <c r="AM177" s="24">
        <f t="shared" si="729"/>
        <v>1</v>
      </c>
      <c r="AN177" s="24">
        <f>ROUND(INDEX($C$2:$C$5,MATCH($E177,$B$2:$B$5,0))*$H177/SUMIFS($H:$H,$E:$E,$E177,$B:$B,$B177,AM:AM,1)*IF(B177=$B$10,0.9,1),0)</f>
        <v>250</v>
      </c>
      <c r="AX177" s="4" t="str">
        <f t="shared" si="559"/>
        <v>1,250</v>
      </c>
      <c r="AY177" s="4" t="str">
        <f t="shared" si="560"/>
        <v>0,300</v>
      </c>
      <c r="AZ177" s="4" t="str">
        <f t="shared" si="561"/>
        <v>0,300</v>
      </c>
      <c r="BA177" s="4" t="str">
        <f t="shared" si="562"/>
        <v>0,300</v>
      </c>
      <c r="BB177" s="4" t="str">
        <f t="shared" si="563"/>
        <v>1,250</v>
      </c>
      <c r="BC177" s="4" t="str">
        <f t="shared" si="564"/>
        <v>1,250</v>
      </c>
      <c r="BD177" s="4" t="str">
        <f t="shared" si="565"/>
        <v>1,250</v>
      </c>
      <c r="BE177" s="4" t="str">
        <f t="shared" si="566"/>
        <v>1,250</v>
      </c>
      <c r="BF177" s="4" t="str">
        <f t="shared" si="567"/>
        <v>1,250</v>
      </c>
      <c r="BG177" s="4" t="str">
        <f t="shared" si="568"/>
        <v>1,250</v>
      </c>
      <c r="BH177" s="4" t="str">
        <f t="shared" si="569"/>
        <v>1,250</v>
      </c>
      <c r="BI177" s="4" t="str">
        <f t="shared" si="570"/>
        <v>1,250</v>
      </c>
      <c r="BJ177" s="4" t="str">
        <f t="shared" si="571"/>
        <v>1,250</v>
      </c>
    </row>
    <row r="178" customHeight="1" spans="1:62">
      <c r="A178" s="35">
        <v>1051</v>
      </c>
      <c r="B178" s="40" t="s">
        <v>87</v>
      </c>
      <c r="C178" s="40" t="s">
        <v>218</v>
      </c>
      <c r="D178" s="47" t="s">
        <v>91</v>
      </c>
      <c r="E178" s="45">
        <v>4</v>
      </c>
      <c r="F178" s="35">
        <v>1</v>
      </c>
      <c r="G178" s="35">
        <f t="shared" si="572"/>
        <v>1</v>
      </c>
      <c r="H178" s="35">
        <v>1</v>
      </c>
      <c r="I178" s="35">
        <v>1</v>
      </c>
      <c r="J178" s="35">
        <v>1</v>
      </c>
      <c r="K178" s="35">
        <v>1</v>
      </c>
      <c r="L178" s="35">
        <v>1</v>
      </c>
      <c r="M178" s="35" t="s">
        <v>136</v>
      </c>
      <c r="N178">
        <f t="shared" si="573"/>
        <v>500</v>
      </c>
      <c r="O178" s="35">
        <v>1</v>
      </c>
      <c r="P178" s="24">
        <f>ROUND(INDEX($C$2:$C$5,MATCH($E178,$B$2:$B$5,0))*$F178/SUMIFS($F:$F,$E:$E,$E178,$B:$B,$B178,O:O,1)*IF(B178=$B$10,0.9,1),0)</f>
        <v>250</v>
      </c>
      <c r="Q178" s="24">
        <f t="shared" ref="Q178:U178" si="730">IF($L178&lt;=Q$8,1,0)</f>
        <v>1</v>
      </c>
      <c r="R178" s="24">
        <f>ROUND(INDEX($C$2:$C$5,MATCH($E178,$B$2:$B$5,0))*$I178/SUMIFS($I:$I,$E:$E,$E178,$B:$B,$B178,Q:Q,1)*IF(B178=$B$10,0.9,1),0)</f>
        <v>500</v>
      </c>
      <c r="S178" s="24">
        <f t="shared" si="730"/>
        <v>1</v>
      </c>
      <c r="T178" s="24">
        <f>ROUND(INDEX($C$2:$C$5,MATCH($E178,$B$2:$B$5,0))*$J178/SUMIFS($J:$J,$E:$E,$E178,$B:$B,$B178,S:S,1)*IF(B178=$B$10,0.9,1),0)</f>
        <v>500</v>
      </c>
      <c r="U178" s="24">
        <f t="shared" si="730"/>
        <v>1</v>
      </c>
      <c r="V178" s="24">
        <f>ROUND(INDEX($C$2:$C$5,MATCH($E178,$B$2:$B$5,0))*$K178/SUMIFS($K:$K,$E:$E,$E178,$B:$B,$B178,U:U,1)*IF(B178=$B$10,0.9,1),0)</f>
        <v>500</v>
      </c>
      <c r="W178" s="24">
        <f t="shared" ref="W178:AA178" si="731">IF($L178&lt;=W$8,1,0)</f>
        <v>1</v>
      </c>
      <c r="X178" s="24">
        <f>ROUND(INDEX($C$2:$C$5,MATCH($E178,$B$2:$B$5,0))*$F178/SUMIFS($F:$F,$E:$E,$E178,$B:$B,$B178,W:W,1)*IF(B178=$B$10,0.9,1),0)</f>
        <v>500</v>
      </c>
      <c r="Y178" s="24">
        <f t="shared" si="731"/>
        <v>1</v>
      </c>
      <c r="Z178" s="24">
        <f>ROUND(INDEX($C$2:$C$5,MATCH($E178,$B$2:$B$5,0))*$G178/SUMIFS($G:$G,$E:$E,$E178,$B:$B,$B178,Y:Y,1)*IF(B178=$B$10,0.9,1),0)</f>
        <v>500</v>
      </c>
      <c r="AA178" s="24">
        <f t="shared" si="731"/>
        <v>1</v>
      </c>
      <c r="AB178" s="24">
        <f>ROUND(INDEX($C$2:$C$5,MATCH($E178,$B$2:$B$5,0))*$H178/SUMIFS($H:$H,$E:$E,$E178,$B:$B,$B178,AA:AA,1)*IF(B178=$B$10,0.9,1),0)</f>
        <v>500</v>
      </c>
      <c r="AC178" s="24">
        <f t="shared" ref="AC178:AG178" si="732">IF($L178&lt;=AC$8,1,0)</f>
        <v>1</v>
      </c>
      <c r="AD178" s="24">
        <f>ROUND(INDEX($C$2:$C$5,MATCH($E178,$B$2:$B$5,0))*$F178/SUMIFS($F:$F,$E:$E,$E178,$B:$B,$B178,AC:AC,1)*IF(B178=$B$10,0.9,1),0)</f>
        <v>250</v>
      </c>
      <c r="AE178" s="24">
        <f t="shared" si="732"/>
        <v>1</v>
      </c>
      <c r="AF178" s="24">
        <f>ROUND(INDEX($C$2:$C$5,MATCH($E178,$B$2:$B$5,0))*$G178/SUMIFS($G:$G,$E:$E,$E178,$B:$B,$B178,AE:AE,1)*IF(B178=$B$10,0.9,1),0)</f>
        <v>250</v>
      </c>
      <c r="AG178" s="24">
        <f t="shared" si="732"/>
        <v>1</v>
      </c>
      <c r="AH178" s="24">
        <f>ROUND(INDEX($C$2:$C$5,MATCH($E178,$B$2:$B$5,0))*$H178/SUMIFS($H:$H,$E:$E,$E178,$B:$B,$B178,AG:AG,1)*IF(B178=$B$10,0.9,1),0)</f>
        <v>250</v>
      </c>
      <c r="AI178" s="24">
        <f t="shared" ref="AI178:AM178" si="733">IF($L178&lt;=AI$8,1,0)</f>
        <v>1</v>
      </c>
      <c r="AJ178" s="24">
        <f>ROUND(INDEX($C$2:$C$5,MATCH($E178,$B$2:$B$5,0))*$F178/SUMIFS($F:$F,$E:$E,$E178,$B:$B,$B178,AI:AI,1)*IF(B178=$B$10,0.9,1),0)</f>
        <v>250</v>
      </c>
      <c r="AK178" s="24">
        <f t="shared" si="733"/>
        <v>1</v>
      </c>
      <c r="AL178" s="24">
        <f>ROUND(INDEX($C$2:$C$5,MATCH($E178,$B$2:$B$5,0))*$G178/SUMIFS($G:$G,$E:$E,$E178,$B:$B,$B178,AK:AK,1)*IF(B178=$B$10,0.9,1),0)</f>
        <v>250</v>
      </c>
      <c r="AM178" s="24">
        <f t="shared" si="733"/>
        <v>1</v>
      </c>
      <c r="AN178" s="24">
        <f>ROUND(INDEX($C$2:$C$5,MATCH($E178,$B$2:$B$5,0))*$H178/SUMIFS($H:$H,$E:$E,$E178,$B:$B,$B178,AM:AM,1)*IF(B178=$B$10,0.9,1),0)</f>
        <v>250</v>
      </c>
      <c r="AX178" s="4" t="str">
        <f t="shared" si="559"/>
        <v>1,250</v>
      </c>
      <c r="AY178" s="4" t="str">
        <f t="shared" si="560"/>
        <v>1,500</v>
      </c>
      <c r="AZ178" s="4" t="str">
        <f t="shared" si="561"/>
        <v>1,500</v>
      </c>
      <c r="BA178" s="4" t="str">
        <f t="shared" si="562"/>
        <v>1,500</v>
      </c>
      <c r="BB178" s="4" t="str">
        <f t="shared" si="563"/>
        <v>1,500</v>
      </c>
      <c r="BC178" s="4" t="str">
        <f t="shared" si="564"/>
        <v>1,500</v>
      </c>
      <c r="BD178" s="4" t="str">
        <f t="shared" si="565"/>
        <v>1,500</v>
      </c>
      <c r="BE178" s="4" t="str">
        <f t="shared" si="566"/>
        <v>1,250</v>
      </c>
      <c r="BF178" s="4" t="str">
        <f t="shared" si="567"/>
        <v>1,250</v>
      </c>
      <c r="BG178" s="4" t="str">
        <f t="shared" si="568"/>
        <v>1,250</v>
      </c>
      <c r="BH178" s="4" t="str">
        <f t="shared" si="569"/>
        <v>1,250</v>
      </c>
      <c r="BI178" s="4" t="str">
        <f t="shared" si="570"/>
        <v>1,250</v>
      </c>
      <c r="BJ178" s="4" t="str">
        <f t="shared" si="571"/>
        <v>1,250</v>
      </c>
    </row>
    <row r="179" customHeight="1" spans="1:62">
      <c r="A179" s="35">
        <v>1052</v>
      </c>
      <c r="B179" s="40" t="s">
        <v>87</v>
      </c>
      <c r="C179" s="40" t="s">
        <v>218</v>
      </c>
      <c r="D179" s="48" t="s">
        <v>408</v>
      </c>
      <c r="E179" s="45">
        <v>4</v>
      </c>
      <c r="F179" s="35">
        <v>1</v>
      </c>
      <c r="G179" s="35">
        <f t="shared" si="572"/>
        <v>1</v>
      </c>
      <c r="H179" s="35">
        <v>1</v>
      </c>
      <c r="I179" s="35">
        <v>1</v>
      </c>
      <c r="J179" s="35">
        <v>1</v>
      </c>
      <c r="K179" s="35">
        <v>1</v>
      </c>
      <c r="L179" s="35">
        <v>3</v>
      </c>
      <c r="M179" s="35"/>
      <c r="N179">
        <f t="shared" si="573"/>
        <v>500</v>
      </c>
      <c r="O179" s="35">
        <v>1</v>
      </c>
      <c r="P179" s="24">
        <f>ROUND(INDEX($C$2:$C$5,MATCH($E179,$B$2:$B$5,0))*$F179/SUMIFS($F:$F,$E:$E,$E179,$B:$B,$B179,O:O,1)*IF(B179=$B$10,0.9,1),0)</f>
        <v>250</v>
      </c>
      <c r="Q179" s="24">
        <f t="shared" ref="Q179:U179" si="734">IF($L179&lt;=Q$8,1,0)</f>
        <v>0</v>
      </c>
      <c r="R179" s="24">
        <f>ROUND(INDEX($C$2:$C$5,MATCH($E179,$B$2:$B$5,0))*$I179/SUMIFS($I:$I,$E:$E,$E179,$B:$B,$B179,Q:Q,1)*IF(B179=$B$10,0.9,1),0)</f>
        <v>500</v>
      </c>
      <c r="S179" s="24">
        <f t="shared" si="734"/>
        <v>0</v>
      </c>
      <c r="T179" s="24">
        <f>ROUND(INDEX($C$2:$C$5,MATCH($E179,$B$2:$B$5,0))*$J179/SUMIFS($J:$J,$E:$E,$E179,$B:$B,$B179,S:S,1)*IF(B179=$B$10,0.9,1),0)</f>
        <v>500</v>
      </c>
      <c r="U179" s="24">
        <f t="shared" si="734"/>
        <v>0</v>
      </c>
      <c r="V179" s="24">
        <f>ROUND(INDEX($C$2:$C$5,MATCH($E179,$B$2:$B$5,0))*$K179/SUMIFS($K:$K,$E:$E,$E179,$B:$B,$B179,U:U,1)*IF(B179=$B$10,0.9,1),0)</f>
        <v>500</v>
      </c>
      <c r="W179" s="24">
        <f t="shared" ref="W179:AA179" si="735">IF($L179&lt;=W$8,1,0)</f>
        <v>0</v>
      </c>
      <c r="X179" s="24">
        <f>ROUND(INDEX($C$2:$C$5,MATCH($E179,$B$2:$B$5,0))*$F179/SUMIFS($F:$F,$E:$E,$E179,$B:$B,$B179,W:W,1)*IF(B179=$B$10,0.9,1),0)</f>
        <v>500</v>
      </c>
      <c r="Y179" s="24">
        <f t="shared" si="735"/>
        <v>0</v>
      </c>
      <c r="Z179" s="24">
        <f>ROUND(INDEX($C$2:$C$5,MATCH($E179,$B$2:$B$5,0))*$G179/SUMIFS($G:$G,$E:$E,$E179,$B:$B,$B179,Y:Y,1)*IF(B179=$B$10,0.9,1),0)</f>
        <v>500</v>
      </c>
      <c r="AA179" s="24">
        <f t="shared" si="735"/>
        <v>0</v>
      </c>
      <c r="AB179" s="24">
        <f>ROUND(INDEX($C$2:$C$5,MATCH($E179,$B$2:$B$5,0))*$H179/SUMIFS($H:$H,$E:$E,$E179,$B:$B,$B179,AA:AA,1)*IF(B179=$B$10,0.9,1),0)</f>
        <v>500</v>
      </c>
      <c r="AC179" s="24">
        <f t="shared" ref="AC179:AG179" si="736">IF($L179&lt;=AC$8,1,0)</f>
        <v>1</v>
      </c>
      <c r="AD179" s="24">
        <f>ROUND(INDEX($C$2:$C$5,MATCH($E179,$B$2:$B$5,0))*$F179/SUMIFS($F:$F,$E:$E,$E179,$B:$B,$B179,AC:AC,1)*IF(B179=$B$10,0.9,1),0)</f>
        <v>250</v>
      </c>
      <c r="AE179" s="24">
        <f t="shared" si="736"/>
        <v>1</v>
      </c>
      <c r="AF179" s="24">
        <f>ROUND(INDEX($C$2:$C$5,MATCH($E179,$B$2:$B$5,0))*$G179/SUMIFS($G:$G,$E:$E,$E179,$B:$B,$B179,AE:AE,1)*IF(B179=$B$10,0.9,1),0)</f>
        <v>250</v>
      </c>
      <c r="AG179" s="24">
        <f t="shared" si="736"/>
        <v>1</v>
      </c>
      <c r="AH179" s="24">
        <f>ROUND(INDEX($C$2:$C$5,MATCH($E179,$B$2:$B$5,0))*$H179/SUMIFS($H:$H,$E:$E,$E179,$B:$B,$B179,AG:AG,1)*IF(B179=$B$10,0.9,1),0)</f>
        <v>250</v>
      </c>
      <c r="AI179" s="24">
        <f t="shared" ref="AI179:AM179" si="737">IF($L179&lt;=AI$8,1,0)</f>
        <v>1</v>
      </c>
      <c r="AJ179" s="24">
        <f>ROUND(INDEX($C$2:$C$5,MATCH($E179,$B$2:$B$5,0))*$F179/SUMIFS($F:$F,$E:$E,$E179,$B:$B,$B179,AI:AI,1)*IF(B179=$B$10,0.9,1),0)</f>
        <v>250</v>
      </c>
      <c r="AK179" s="24">
        <f t="shared" si="737"/>
        <v>1</v>
      </c>
      <c r="AL179" s="24">
        <f>ROUND(INDEX($C$2:$C$5,MATCH($E179,$B$2:$B$5,0))*$G179/SUMIFS($G:$G,$E:$E,$E179,$B:$B,$B179,AK:AK,1)*IF(B179=$B$10,0.9,1),0)</f>
        <v>250</v>
      </c>
      <c r="AM179" s="24">
        <f t="shared" si="737"/>
        <v>1</v>
      </c>
      <c r="AN179" s="24">
        <f>ROUND(INDEX($C$2:$C$5,MATCH($E179,$B$2:$B$5,0))*$H179/SUMIFS($H:$H,$E:$E,$E179,$B:$B,$B179,AM:AM,1)*IF(B179=$B$10,0.9,1),0)</f>
        <v>250</v>
      </c>
      <c r="AX179" s="4" t="str">
        <f t="shared" si="559"/>
        <v>1,250</v>
      </c>
      <c r="AY179" s="4" t="str">
        <f t="shared" si="560"/>
        <v>0,500</v>
      </c>
      <c r="AZ179" s="4" t="str">
        <f t="shared" si="561"/>
        <v>0,500</v>
      </c>
      <c r="BA179" s="4" t="str">
        <f t="shared" si="562"/>
        <v>0,500</v>
      </c>
      <c r="BB179" s="4" t="str">
        <f t="shared" si="563"/>
        <v>0,500</v>
      </c>
      <c r="BC179" s="4" t="str">
        <f t="shared" si="564"/>
        <v>0,500</v>
      </c>
      <c r="BD179" s="4" t="str">
        <f t="shared" si="565"/>
        <v>0,500</v>
      </c>
      <c r="BE179" s="4" t="str">
        <f t="shared" si="566"/>
        <v>1,250</v>
      </c>
      <c r="BF179" s="4" t="str">
        <f t="shared" si="567"/>
        <v>1,250</v>
      </c>
      <c r="BG179" s="4" t="str">
        <f t="shared" si="568"/>
        <v>1,250</v>
      </c>
      <c r="BH179" s="4" t="str">
        <f t="shared" si="569"/>
        <v>1,250</v>
      </c>
      <c r="BI179" s="4" t="str">
        <f t="shared" si="570"/>
        <v>1,250</v>
      </c>
      <c r="BJ179" s="4" t="str">
        <f t="shared" si="571"/>
        <v>1,250</v>
      </c>
    </row>
    <row r="180" customHeight="1" spans="1:62">
      <c r="A180" s="35">
        <v>1101</v>
      </c>
      <c r="B180" s="40" t="s">
        <v>93</v>
      </c>
      <c r="C180" s="40" t="s">
        <v>218</v>
      </c>
      <c r="D180" s="41" t="s">
        <v>356</v>
      </c>
      <c r="E180" s="45">
        <v>1</v>
      </c>
      <c r="F180" s="35">
        <v>1</v>
      </c>
      <c r="G180" s="35">
        <f t="shared" si="572"/>
        <v>1</v>
      </c>
      <c r="H180" s="35">
        <v>1</v>
      </c>
      <c r="I180" s="35">
        <v>1</v>
      </c>
      <c r="J180" s="35">
        <v>1</v>
      </c>
      <c r="K180" s="35">
        <v>1</v>
      </c>
      <c r="L180" s="35">
        <v>1</v>
      </c>
      <c r="M180" s="35"/>
      <c r="N180">
        <f t="shared" si="573"/>
        <v>13500</v>
      </c>
      <c r="O180" s="35">
        <v>1</v>
      </c>
      <c r="P180" s="24">
        <f>ROUND(INDEX($C$2:$C$5,MATCH($E180,$B$2:$B$5,0))*$F180/SUMIFS($F:$F,$E:$E,$E180,$B:$B,$B180,O:O,1)*IF(B180=$B$10,0.9,1),0)</f>
        <v>4500</v>
      </c>
      <c r="Q180" s="24">
        <f t="shared" ref="Q180:U180" si="738">IF($L180&lt;=Q$8,1,0)</f>
        <v>1</v>
      </c>
      <c r="R180" s="24">
        <f>ROUND(INDEX($C$2:$C$5,MATCH($E180,$B$2:$B$5,0))*$I180/SUMIFS($I:$I,$E:$E,$E180,$B:$B,$B180,Q:Q,1)*IF(B180=$B$10,0.9,1),0)</f>
        <v>4500</v>
      </c>
      <c r="S180" s="24">
        <f t="shared" si="738"/>
        <v>1</v>
      </c>
      <c r="T180" s="24">
        <f>ROUND(INDEX($C$2:$C$5,MATCH($E180,$B$2:$B$5,0))*$J180/SUMIFS($J:$J,$E:$E,$E180,$B:$B,$B180,S:S,1)*IF(B180=$B$10,0.9,1),0)</f>
        <v>4500</v>
      </c>
      <c r="U180" s="24">
        <f t="shared" si="738"/>
        <v>1</v>
      </c>
      <c r="V180" s="24">
        <f>ROUND(INDEX($C$2:$C$5,MATCH($E180,$B$2:$B$5,0))*$K180/SUMIFS($K:$K,$E:$E,$E180,$B:$B,$B180,U:U,1)*IF(B180=$B$10,0.9,1),0)</f>
        <v>4500</v>
      </c>
      <c r="W180" s="24">
        <f t="shared" ref="W180:AA180" si="739">IF($L180&lt;=W$8,1,0)</f>
        <v>1</v>
      </c>
      <c r="X180" s="24">
        <f>ROUND(INDEX($C$2:$C$5,MATCH($E180,$B$2:$B$5,0))*$F180/SUMIFS($F:$F,$E:$E,$E180,$B:$B,$B180,W:W,1)*IF(B180=$B$10,0.9,1),0)</f>
        <v>4500</v>
      </c>
      <c r="Y180" s="24">
        <f t="shared" si="739"/>
        <v>1</v>
      </c>
      <c r="Z180" s="24">
        <f>ROUND(INDEX($C$2:$C$5,MATCH($E180,$B$2:$B$5,0))*$G180/SUMIFS($G:$G,$E:$E,$E180,$B:$B,$B180,Y:Y,1)*IF(B180=$B$10,0.9,1),0)</f>
        <v>4500</v>
      </c>
      <c r="AA180" s="24">
        <f t="shared" si="739"/>
        <v>1</v>
      </c>
      <c r="AB180" s="24">
        <f>ROUND(INDEX($C$2:$C$5,MATCH($E180,$B$2:$B$5,0))*$H180/SUMIFS($H:$H,$E:$E,$E180,$B:$B,$B180,AA:AA,1)*IF(B180=$B$10,0.9,1),0)</f>
        <v>4500</v>
      </c>
      <c r="AC180" s="24">
        <f t="shared" ref="AC180:AG180" si="740">IF($L180&lt;=AC$8,1,0)</f>
        <v>1</v>
      </c>
      <c r="AD180" s="24">
        <f>ROUND(INDEX($C$2:$C$5,MATCH($E180,$B$2:$B$5,0))*$F180/SUMIFS($F:$F,$E:$E,$E180,$B:$B,$B180,AC:AC,1)*IF(B180=$B$10,0.9,1),0)</f>
        <v>4500</v>
      </c>
      <c r="AE180" s="24">
        <f t="shared" si="740"/>
        <v>1</v>
      </c>
      <c r="AF180" s="24">
        <f>ROUND(INDEX($C$2:$C$5,MATCH($E180,$B$2:$B$5,0))*$G180/SUMIFS($G:$G,$E:$E,$E180,$B:$B,$B180,AE:AE,1)*IF(B180=$B$10,0.9,1),0)</f>
        <v>4500</v>
      </c>
      <c r="AG180" s="24">
        <f t="shared" si="740"/>
        <v>1</v>
      </c>
      <c r="AH180" s="24">
        <f>ROUND(INDEX($C$2:$C$5,MATCH($E180,$B$2:$B$5,0))*$H180/SUMIFS($H:$H,$E:$E,$E180,$B:$B,$B180,AG:AG,1)*IF(B180=$B$10,0.9,1),0)</f>
        <v>4500</v>
      </c>
      <c r="AI180" s="24">
        <f t="shared" ref="AI180:AM180" si="741">IF($L180&lt;=AI$8,1,0)</f>
        <v>1</v>
      </c>
      <c r="AJ180" s="24">
        <f>ROUND(INDEX($C$2:$C$5,MATCH($E180,$B$2:$B$5,0))*$F180/SUMIFS($F:$F,$E:$E,$E180,$B:$B,$B180,AI:AI,1)*IF(B180=$B$10,0.9,1),0)</f>
        <v>4500</v>
      </c>
      <c r="AK180" s="24">
        <f t="shared" si="741"/>
        <v>1</v>
      </c>
      <c r="AL180" s="24">
        <f>ROUND(INDEX($C$2:$C$5,MATCH($E180,$B$2:$B$5,0))*$G180/SUMIFS($G:$G,$E:$E,$E180,$B:$B,$B180,AK:AK,1)*IF(B180=$B$10,0.9,1),0)</f>
        <v>4500</v>
      </c>
      <c r="AM180" s="24">
        <f t="shared" si="741"/>
        <v>1</v>
      </c>
      <c r="AN180" s="24">
        <f>ROUND(INDEX($C$2:$C$5,MATCH($E180,$B$2:$B$5,0))*$H180/SUMIFS($H:$H,$E:$E,$E180,$B:$B,$B180,AM:AM,1)*IF(B180=$B$10,0.9,1),0)</f>
        <v>4500</v>
      </c>
      <c r="AX180" s="4" t="str">
        <f t="shared" si="559"/>
        <v>1,4500</v>
      </c>
      <c r="AY180" s="4" t="str">
        <f t="shared" si="560"/>
        <v>1,4500</v>
      </c>
      <c r="AZ180" s="4" t="str">
        <f t="shared" si="561"/>
        <v>1,4500</v>
      </c>
      <c r="BA180" s="4" t="str">
        <f t="shared" si="562"/>
        <v>1,4500</v>
      </c>
      <c r="BB180" s="4" t="str">
        <f t="shared" si="563"/>
        <v>1,4500</v>
      </c>
      <c r="BC180" s="4" t="str">
        <f t="shared" si="564"/>
        <v>1,4500</v>
      </c>
      <c r="BD180" s="4" t="str">
        <f t="shared" si="565"/>
        <v>1,4500</v>
      </c>
      <c r="BE180" s="4" t="str">
        <f t="shared" si="566"/>
        <v>1,4500</v>
      </c>
      <c r="BF180" s="4" t="str">
        <f t="shared" si="567"/>
        <v>1,4500</v>
      </c>
      <c r="BG180" s="4" t="str">
        <f t="shared" si="568"/>
        <v>1,4500</v>
      </c>
      <c r="BH180" s="4" t="str">
        <f t="shared" si="569"/>
        <v>1,4500</v>
      </c>
      <c r="BI180" s="4" t="str">
        <f t="shared" si="570"/>
        <v>1,4500</v>
      </c>
      <c r="BJ180" s="4" t="str">
        <f t="shared" si="571"/>
        <v>1,4500</v>
      </c>
    </row>
    <row r="181" customHeight="1" spans="1:62">
      <c r="A181" s="35">
        <v>1102</v>
      </c>
      <c r="B181" s="40" t="s">
        <v>93</v>
      </c>
      <c r="C181" s="40" t="s">
        <v>218</v>
      </c>
      <c r="D181" s="41" t="s">
        <v>357</v>
      </c>
      <c r="E181" s="50">
        <v>1</v>
      </c>
      <c r="F181" s="35">
        <v>1</v>
      </c>
      <c r="G181" s="35">
        <f t="shared" si="572"/>
        <v>1</v>
      </c>
      <c r="H181" s="35">
        <v>1</v>
      </c>
      <c r="I181" s="35">
        <v>1</v>
      </c>
      <c r="J181" s="35">
        <v>1</v>
      </c>
      <c r="K181" s="35">
        <v>1</v>
      </c>
      <c r="L181" s="35">
        <v>1</v>
      </c>
      <c r="M181" s="35"/>
      <c r="N181">
        <f t="shared" si="573"/>
        <v>13500</v>
      </c>
      <c r="O181" s="35">
        <v>1</v>
      </c>
      <c r="P181" s="24">
        <f>ROUND(INDEX($C$2:$C$5,MATCH($E181,$B$2:$B$5,0))*$F181/SUMIFS($F:$F,$E:$E,$E181,$B:$B,$B181,O:O,1)*IF(B181=$B$10,0.9,1),0)</f>
        <v>4500</v>
      </c>
      <c r="Q181" s="24">
        <f t="shared" ref="Q181:U181" si="742">IF($L181&lt;=Q$8,1,0)</f>
        <v>1</v>
      </c>
      <c r="R181" s="24">
        <f>ROUND(INDEX($C$2:$C$5,MATCH($E181,$B$2:$B$5,0))*$I181/SUMIFS($I:$I,$E:$E,$E181,$B:$B,$B181,Q:Q,1)*IF(B181=$B$10,0.9,1),0)</f>
        <v>4500</v>
      </c>
      <c r="S181" s="24">
        <f t="shared" si="742"/>
        <v>1</v>
      </c>
      <c r="T181" s="24">
        <f>ROUND(INDEX($C$2:$C$5,MATCH($E181,$B$2:$B$5,0))*$J181/SUMIFS($J:$J,$E:$E,$E181,$B:$B,$B181,S:S,1)*IF(B181=$B$10,0.9,1),0)</f>
        <v>4500</v>
      </c>
      <c r="U181" s="24">
        <f t="shared" si="742"/>
        <v>1</v>
      </c>
      <c r="V181" s="24">
        <f>ROUND(INDEX($C$2:$C$5,MATCH($E181,$B$2:$B$5,0))*$K181/SUMIFS($K:$K,$E:$E,$E181,$B:$B,$B181,U:U,1)*IF(B181=$B$10,0.9,1),0)</f>
        <v>4500</v>
      </c>
      <c r="W181" s="24">
        <f t="shared" ref="W181:AA181" si="743">IF($L181&lt;=W$8,1,0)</f>
        <v>1</v>
      </c>
      <c r="X181" s="24">
        <f>ROUND(INDEX($C$2:$C$5,MATCH($E181,$B$2:$B$5,0))*$F181/SUMIFS($F:$F,$E:$E,$E181,$B:$B,$B181,W:W,1)*IF(B181=$B$10,0.9,1),0)</f>
        <v>4500</v>
      </c>
      <c r="Y181" s="24">
        <f t="shared" si="743"/>
        <v>1</v>
      </c>
      <c r="Z181" s="24">
        <f>ROUND(INDEX($C$2:$C$5,MATCH($E181,$B$2:$B$5,0))*$G181/SUMIFS($G:$G,$E:$E,$E181,$B:$B,$B181,Y:Y,1)*IF(B181=$B$10,0.9,1),0)</f>
        <v>4500</v>
      </c>
      <c r="AA181" s="24">
        <f t="shared" si="743"/>
        <v>1</v>
      </c>
      <c r="AB181" s="24">
        <f>ROUND(INDEX($C$2:$C$5,MATCH($E181,$B$2:$B$5,0))*$H181/SUMIFS($H:$H,$E:$E,$E181,$B:$B,$B181,AA:AA,1)*IF(B181=$B$10,0.9,1),0)</f>
        <v>4500</v>
      </c>
      <c r="AC181" s="24">
        <f t="shared" ref="AC181:AG181" si="744">IF($L181&lt;=AC$8,1,0)</f>
        <v>1</v>
      </c>
      <c r="AD181" s="24">
        <f>ROUND(INDEX($C$2:$C$5,MATCH($E181,$B$2:$B$5,0))*$F181/SUMIFS($F:$F,$E:$E,$E181,$B:$B,$B181,AC:AC,1)*IF(B181=$B$10,0.9,1),0)</f>
        <v>4500</v>
      </c>
      <c r="AE181" s="24">
        <f t="shared" si="744"/>
        <v>1</v>
      </c>
      <c r="AF181" s="24">
        <f>ROUND(INDEX($C$2:$C$5,MATCH($E181,$B$2:$B$5,0))*$G181/SUMIFS($G:$G,$E:$E,$E181,$B:$B,$B181,AE:AE,1)*IF(B181=$B$10,0.9,1),0)</f>
        <v>4500</v>
      </c>
      <c r="AG181" s="24">
        <f t="shared" si="744"/>
        <v>1</v>
      </c>
      <c r="AH181" s="24">
        <f>ROUND(INDEX($C$2:$C$5,MATCH($E181,$B$2:$B$5,0))*$H181/SUMIFS($H:$H,$E:$E,$E181,$B:$B,$B181,AG:AG,1)*IF(B181=$B$10,0.9,1),0)</f>
        <v>4500</v>
      </c>
      <c r="AI181" s="24">
        <f t="shared" ref="AI181:AM181" si="745">IF($L181&lt;=AI$8,1,0)</f>
        <v>1</v>
      </c>
      <c r="AJ181" s="24">
        <f>ROUND(INDEX($C$2:$C$5,MATCH($E181,$B$2:$B$5,0))*$F181/SUMIFS($F:$F,$E:$E,$E181,$B:$B,$B181,AI:AI,1)*IF(B181=$B$10,0.9,1),0)</f>
        <v>4500</v>
      </c>
      <c r="AK181" s="24">
        <f t="shared" si="745"/>
        <v>1</v>
      </c>
      <c r="AL181" s="24">
        <f>ROUND(INDEX($C$2:$C$5,MATCH($E181,$B$2:$B$5,0))*$G181/SUMIFS($G:$G,$E:$E,$E181,$B:$B,$B181,AK:AK,1)*IF(B181=$B$10,0.9,1),0)</f>
        <v>4500</v>
      </c>
      <c r="AM181" s="24">
        <f t="shared" si="745"/>
        <v>1</v>
      </c>
      <c r="AN181" s="24">
        <f>ROUND(INDEX($C$2:$C$5,MATCH($E181,$B$2:$B$5,0))*$H181/SUMIFS($H:$H,$E:$E,$E181,$B:$B,$B181,AM:AM,1)*IF(B181=$B$10,0.9,1),0)</f>
        <v>4500</v>
      </c>
      <c r="AX181" s="4" t="str">
        <f t="shared" si="559"/>
        <v>1,4500</v>
      </c>
      <c r="AY181" s="4" t="str">
        <f t="shared" si="560"/>
        <v>1,4500</v>
      </c>
      <c r="AZ181" s="4" t="str">
        <f t="shared" si="561"/>
        <v>1,4500</v>
      </c>
      <c r="BA181" s="4" t="str">
        <f t="shared" si="562"/>
        <v>1,4500</v>
      </c>
      <c r="BB181" s="4" t="str">
        <f t="shared" si="563"/>
        <v>1,4500</v>
      </c>
      <c r="BC181" s="4" t="str">
        <f t="shared" si="564"/>
        <v>1,4500</v>
      </c>
      <c r="BD181" s="4" t="str">
        <f t="shared" si="565"/>
        <v>1,4500</v>
      </c>
      <c r="BE181" s="4" t="str">
        <f t="shared" si="566"/>
        <v>1,4500</v>
      </c>
      <c r="BF181" s="4" t="str">
        <f t="shared" si="567"/>
        <v>1,4500</v>
      </c>
      <c r="BG181" s="4" t="str">
        <f t="shared" si="568"/>
        <v>1,4500</v>
      </c>
      <c r="BH181" s="4" t="str">
        <f t="shared" si="569"/>
        <v>1,4500</v>
      </c>
      <c r="BI181" s="4" t="str">
        <f t="shared" si="570"/>
        <v>1,4500</v>
      </c>
      <c r="BJ181" s="4" t="str">
        <f t="shared" si="571"/>
        <v>1,4500</v>
      </c>
    </row>
    <row r="182" customHeight="1" spans="1:62">
      <c r="A182" s="35">
        <v>1103</v>
      </c>
      <c r="B182" s="40" t="s">
        <v>93</v>
      </c>
      <c r="C182" s="40" t="s">
        <v>218</v>
      </c>
      <c r="D182" s="41" t="s">
        <v>361</v>
      </c>
      <c r="E182" s="50">
        <v>1</v>
      </c>
      <c r="F182" s="35">
        <v>1</v>
      </c>
      <c r="G182" s="35">
        <f t="shared" si="572"/>
        <v>1</v>
      </c>
      <c r="H182" s="35">
        <v>1</v>
      </c>
      <c r="I182" s="35">
        <v>1</v>
      </c>
      <c r="J182" s="35">
        <v>1</v>
      </c>
      <c r="K182" s="35">
        <v>1</v>
      </c>
      <c r="L182" s="35">
        <v>1</v>
      </c>
      <c r="M182" s="35"/>
      <c r="N182">
        <f t="shared" si="573"/>
        <v>13500</v>
      </c>
      <c r="O182" s="35">
        <v>1</v>
      </c>
      <c r="P182" s="24">
        <f>ROUND(INDEX($C$2:$C$5,MATCH($E182,$B$2:$B$5,0))*$F182/SUMIFS($F:$F,$E:$E,$E182,$B:$B,$B182,O:O,1)*IF(B182=$B$10,0.9,1),0)</f>
        <v>4500</v>
      </c>
      <c r="Q182" s="24">
        <f t="shared" ref="Q182:U182" si="746">IF($L182&lt;=Q$8,1,0)</f>
        <v>1</v>
      </c>
      <c r="R182" s="24">
        <f>ROUND(INDEX($C$2:$C$5,MATCH($E182,$B$2:$B$5,0))*$I182/SUMIFS($I:$I,$E:$E,$E182,$B:$B,$B182,Q:Q,1)*IF(B182=$B$10,0.9,1),0)</f>
        <v>4500</v>
      </c>
      <c r="S182" s="24">
        <f t="shared" si="746"/>
        <v>1</v>
      </c>
      <c r="T182" s="24">
        <f>ROUND(INDEX($C$2:$C$5,MATCH($E182,$B$2:$B$5,0))*$J182/SUMIFS($J:$J,$E:$E,$E182,$B:$B,$B182,S:S,1)*IF(B182=$B$10,0.9,1),0)</f>
        <v>4500</v>
      </c>
      <c r="U182" s="24">
        <f t="shared" si="746"/>
        <v>1</v>
      </c>
      <c r="V182" s="24">
        <f>ROUND(INDEX($C$2:$C$5,MATCH($E182,$B$2:$B$5,0))*$K182/SUMIFS($K:$K,$E:$E,$E182,$B:$B,$B182,U:U,1)*IF(B182=$B$10,0.9,1),0)</f>
        <v>4500</v>
      </c>
      <c r="W182" s="24">
        <f t="shared" ref="W182:AA182" si="747">IF($L182&lt;=W$8,1,0)</f>
        <v>1</v>
      </c>
      <c r="X182" s="24">
        <f>ROUND(INDEX($C$2:$C$5,MATCH($E182,$B$2:$B$5,0))*$F182/SUMIFS($F:$F,$E:$E,$E182,$B:$B,$B182,W:W,1)*IF(B182=$B$10,0.9,1),0)</f>
        <v>4500</v>
      </c>
      <c r="Y182" s="24">
        <f t="shared" si="747"/>
        <v>1</v>
      </c>
      <c r="Z182" s="24">
        <f>ROUND(INDEX($C$2:$C$5,MATCH($E182,$B$2:$B$5,0))*$G182/SUMIFS($G:$G,$E:$E,$E182,$B:$B,$B182,Y:Y,1)*IF(B182=$B$10,0.9,1),0)</f>
        <v>4500</v>
      </c>
      <c r="AA182" s="24">
        <f t="shared" si="747"/>
        <v>1</v>
      </c>
      <c r="AB182" s="24">
        <f>ROUND(INDEX($C$2:$C$5,MATCH($E182,$B$2:$B$5,0))*$H182/SUMIFS($H:$H,$E:$E,$E182,$B:$B,$B182,AA:AA,1)*IF(B182=$B$10,0.9,1),0)</f>
        <v>4500</v>
      </c>
      <c r="AC182" s="24">
        <f t="shared" ref="AC182:AG182" si="748">IF($L182&lt;=AC$8,1,0)</f>
        <v>1</v>
      </c>
      <c r="AD182" s="24">
        <f>ROUND(INDEX($C$2:$C$5,MATCH($E182,$B$2:$B$5,0))*$F182/SUMIFS($F:$F,$E:$E,$E182,$B:$B,$B182,AC:AC,1)*IF(B182=$B$10,0.9,1),0)</f>
        <v>4500</v>
      </c>
      <c r="AE182" s="24">
        <f t="shared" si="748"/>
        <v>1</v>
      </c>
      <c r="AF182" s="24">
        <f>ROUND(INDEX($C$2:$C$5,MATCH($E182,$B$2:$B$5,0))*$G182/SUMIFS($G:$G,$E:$E,$E182,$B:$B,$B182,AE:AE,1)*IF(B182=$B$10,0.9,1),0)</f>
        <v>4500</v>
      </c>
      <c r="AG182" s="24">
        <f t="shared" si="748"/>
        <v>1</v>
      </c>
      <c r="AH182" s="24">
        <f>ROUND(INDEX($C$2:$C$5,MATCH($E182,$B$2:$B$5,0))*$H182/SUMIFS($H:$H,$E:$E,$E182,$B:$B,$B182,AG:AG,1)*IF(B182=$B$10,0.9,1),0)</f>
        <v>4500</v>
      </c>
      <c r="AI182" s="24">
        <f t="shared" ref="AI182:AM182" si="749">IF($L182&lt;=AI$8,1,0)</f>
        <v>1</v>
      </c>
      <c r="AJ182" s="24">
        <f>ROUND(INDEX($C$2:$C$5,MATCH($E182,$B$2:$B$5,0))*$F182/SUMIFS($F:$F,$E:$E,$E182,$B:$B,$B182,AI:AI,1)*IF(B182=$B$10,0.9,1),0)</f>
        <v>4500</v>
      </c>
      <c r="AK182" s="24">
        <f t="shared" si="749"/>
        <v>1</v>
      </c>
      <c r="AL182" s="24">
        <f>ROUND(INDEX($C$2:$C$5,MATCH($E182,$B$2:$B$5,0))*$G182/SUMIFS($G:$G,$E:$E,$E182,$B:$B,$B182,AK:AK,1)*IF(B182=$B$10,0.9,1),0)</f>
        <v>4500</v>
      </c>
      <c r="AM182" s="24">
        <f t="shared" si="749"/>
        <v>1</v>
      </c>
      <c r="AN182" s="24">
        <f>ROUND(INDEX($C$2:$C$5,MATCH($E182,$B$2:$B$5,0))*$H182/SUMIFS($H:$H,$E:$E,$E182,$B:$B,$B182,AM:AM,1)*IF(B182=$B$10,0.9,1),0)</f>
        <v>4500</v>
      </c>
      <c r="AX182" s="4" t="str">
        <f t="shared" si="559"/>
        <v>1,4500</v>
      </c>
      <c r="AY182" s="4" t="str">
        <f t="shared" si="560"/>
        <v>1,4500</v>
      </c>
      <c r="AZ182" s="4" t="str">
        <f t="shared" si="561"/>
        <v>1,4500</v>
      </c>
      <c r="BA182" s="4" t="str">
        <f t="shared" si="562"/>
        <v>1,4500</v>
      </c>
      <c r="BB182" s="4" t="str">
        <f t="shared" si="563"/>
        <v>1,4500</v>
      </c>
      <c r="BC182" s="4" t="str">
        <f t="shared" si="564"/>
        <v>1,4500</v>
      </c>
      <c r="BD182" s="4" t="str">
        <f t="shared" si="565"/>
        <v>1,4500</v>
      </c>
      <c r="BE182" s="4" t="str">
        <f t="shared" si="566"/>
        <v>1,4500</v>
      </c>
      <c r="BF182" s="4" t="str">
        <f t="shared" si="567"/>
        <v>1,4500</v>
      </c>
      <c r="BG182" s="4" t="str">
        <f t="shared" si="568"/>
        <v>1,4500</v>
      </c>
      <c r="BH182" s="4" t="str">
        <f t="shared" si="569"/>
        <v>1,4500</v>
      </c>
      <c r="BI182" s="4" t="str">
        <f t="shared" si="570"/>
        <v>1,4500</v>
      </c>
      <c r="BJ182" s="4" t="str">
        <f t="shared" si="571"/>
        <v>1,4500</v>
      </c>
    </row>
    <row r="183" customHeight="1" spans="1:62">
      <c r="A183" s="35">
        <v>1111</v>
      </c>
      <c r="B183" s="40" t="s">
        <v>93</v>
      </c>
      <c r="C183" s="40"/>
      <c r="D183" s="44" t="s">
        <v>362</v>
      </c>
      <c r="E183" s="35">
        <v>2</v>
      </c>
      <c r="F183" s="35">
        <v>1</v>
      </c>
      <c r="G183" s="35">
        <f t="shared" si="572"/>
        <v>1</v>
      </c>
      <c r="H183" s="35">
        <v>1</v>
      </c>
      <c r="I183" s="35">
        <v>1</v>
      </c>
      <c r="J183" s="35">
        <v>1</v>
      </c>
      <c r="K183" s="35">
        <v>1</v>
      </c>
      <c r="L183" s="35">
        <v>1</v>
      </c>
      <c r="M183" s="35"/>
      <c r="N183">
        <f t="shared" si="573"/>
        <v>4500</v>
      </c>
      <c r="O183" s="35">
        <v>1</v>
      </c>
      <c r="P183" s="24">
        <f>ROUND(INDEX($C$2:$C$5,MATCH($E183,$B$2:$B$5,0))*$F183/SUMIFS($F:$F,$E:$E,$E183,$B:$B,$B183,O:O,1)*IF(B183=$B$10,0.9,1),0)</f>
        <v>750</v>
      </c>
      <c r="Q183" s="24">
        <f t="shared" ref="Q183:U183" si="750">IF($L183&lt;=Q$8,1,0)</f>
        <v>1</v>
      </c>
      <c r="R183" s="24">
        <f>ROUND(INDEX($C$2:$C$5,MATCH($E183,$B$2:$B$5,0))*$I183/SUMIFS($I:$I,$E:$E,$E183,$B:$B,$B183,Q:Q,1)*IF(B183=$B$10,0.9,1),0)</f>
        <v>900</v>
      </c>
      <c r="S183" s="24">
        <f t="shared" si="750"/>
        <v>1</v>
      </c>
      <c r="T183" s="24">
        <f>ROUND(INDEX($C$2:$C$5,MATCH($E183,$B$2:$B$5,0))*$J183/SUMIFS($J:$J,$E:$E,$E183,$B:$B,$B183,S:S,1)*IF(B183=$B$10,0.9,1),0)</f>
        <v>900</v>
      </c>
      <c r="U183" s="24">
        <f t="shared" si="750"/>
        <v>1</v>
      </c>
      <c r="V183" s="24">
        <f>ROUND(INDEX($C$2:$C$5,MATCH($E183,$B$2:$B$5,0))*$K183/SUMIFS($K:$K,$E:$E,$E183,$B:$B,$B183,U:U,1)*IF(B183=$B$10,0.9,1),0)</f>
        <v>900</v>
      </c>
      <c r="W183" s="24">
        <f t="shared" ref="W183:AA183" si="751">IF($L183&lt;=W$8,1,0)</f>
        <v>1</v>
      </c>
      <c r="X183" s="24">
        <f>ROUND(INDEX($C$2:$C$5,MATCH($E183,$B$2:$B$5,0))*$F183/SUMIFS($F:$F,$E:$E,$E183,$B:$B,$B183,W:W,1)*IF(B183=$B$10,0.9,1),0)</f>
        <v>750</v>
      </c>
      <c r="Y183" s="24">
        <f t="shared" si="751"/>
        <v>1</v>
      </c>
      <c r="Z183" s="24">
        <f>ROUND(INDEX($C$2:$C$5,MATCH($E183,$B$2:$B$5,0))*$G183/SUMIFS($G:$G,$E:$E,$E183,$B:$B,$B183,Y:Y,1)*IF(B183=$B$10,0.9,1),0)</f>
        <v>750</v>
      </c>
      <c r="AA183" s="24">
        <f t="shared" si="751"/>
        <v>1</v>
      </c>
      <c r="AB183" s="24">
        <f>ROUND(INDEX($C$2:$C$5,MATCH($E183,$B$2:$B$5,0))*$H183/SUMIFS($H:$H,$E:$E,$E183,$B:$B,$B183,AA:AA,1)*IF(B183=$B$10,0.9,1),0)</f>
        <v>750</v>
      </c>
      <c r="AC183" s="24">
        <f t="shared" ref="AC183:AG183" si="752">IF($L183&lt;=AC$8,1,0)</f>
        <v>1</v>
      </c>
      <c r="AD183" s="24">
        <f>ROUND(INDEX($C$2:$C$5,MATCH($E183,$B$2:$B$5,0))*$F183/SUMIFS($F:$F,$E:$E,$E183,$B:$B,$B183,AC:AC,1)*IF(B183=$B$10,0.9,1),0)</f>
        <v>750</v>
      </c>
      <c r="AE183" s="24">
        <f t="shared" si="752"/>
        <v>1</v>
      </c>
      <c r="AF183" s="24">
        <f>ROUND(INDEX($C$2:$C$5,MATCH($E183,$B$2:$B$5,0))*$G183/SUMIFS($G:$G,$E:$E,$E183,$B:$B,$B183,AE:AE,1)*IF(B183=$B$10,0.9,1),0)</f>
        <v>750</v>
      </c>
      <c r="AG183" s="24">
        <f t="shared" si="752"/>
        <v>1</v>
      </c>
      <c r="AH183" s="24">
        <f>ROUND(INDEX($C$2:$C$5,MATCH($E183,$B$2:$B$5,0))*$H183/SUMIFS($H:$H,$E:$E,$E183,$B:$B,$B183,AG:AG,1)*IF(B183=$B$10,0.9,1),0)</f>
        <v>750</v>
      </c>
      <c r="AI183" s="24">
        <f t="shared" ref="AI183:AM183" si="753">IF($L183&lt;=AI$8,1,0)</f>
        <v>1</v>
      </c>
      <c r="AJ183" s="24">
        <f>ROUND(INDEX($C$2:$C$5,MATCH($E183,$B$2:$B$5,0))*$F183/SUMIFS($F:$F,$E:$E,$E183,$B:$B,$B183,AI:AI,1)*IF(B183=$B$10,0.9,1),0)</f>
        <v>750</v>
      </c>
      <c r="AK183" s="24">
        <f t="shared" si="753"/>
        <v>1</v>
      </c>
      <c r="AL183" s="24">
        <f>ROUND(INDEX($C$2:$C$5,MATCH($E183,$B$2:$B$5,0))*$G183/SUMIFS($G:$G,$E:$E,$E183,$B:$B,$B183,AK:AK,1)*IF(B183=$B$10,0.9,1),0)</f>
        <v>750</v>
      </c>
      <c r="AM183" s="24">
        <f t="shared" si="753"/>
        <v>1</v>
      </c>
      <c r="AN183" s="24">
        <f>ROUND(INDEX($C$2:$C$5,MATCH($E183,$B$2:$B$5,0))*$H183/SUMIFS($H:$H,$E:$E,$E183,$B:$B,$B183,AM:AM,1)*IF(B183=$B$10,0.9,1),0)</f>
        <v>750</v>
      </c>
      <c r="AX183" s="4" t="str">
        <f t="shared" si="559"/>
        <v>1,750</v>
      </c>
      <c r="AY183" s="4" t="str">
        <f t="shared" si="560"/>
        <v>1,900</v>
      </c>
      <c r="AZ183" s="4" t="str">
        <f t="shared" si="561"/>
        <v>1,900</v>
      </c>
      <c r="BA183" s="4" t="str">
        <f t="shared" si="562"/>
        <v>1,900</v>
      </c>
      <c r="BB183" s="4" t="str">
        <f t="shared" si="563"/>
        <v>1,750</v>
      </c>
      <c r="BC183" s="4" t="str">
        <f t="shared" si="564"/>
        <v>1,750</v>
      </c>
      <c r="BD183" s="4" t="str">
        <f t="shared" si="565"/>
        <v>1,750</v>
      </c>
      <c r="BE183" s="4" t="str">
        <f t="shared" si="566"/>
        <v>1,750</v>
      </c>
      <c r="BF183" s="4" t="str">
        <f t="shared" si="567"/>
        <v>1,750</v>
      </c>
      <c r="BG183" s="4" t="str">
        <f t="shared" si="568"/>
        <v>1,750</v>
      </c>
      <c r="BH183" s="4" t="str">
        <f t="shared" si="569"/>
        <v>1,750</v>
      </c>
      <c r="BI183" s="4" t="str">
        <f t="shared" si="570"/>
        <v>1,750</v>
      </c>
      <c r="BJ183" s="4" t="str">
        <f t="shared" si="571"/>
        <v>1,750</v>
      </c>
    </row>
    <row r="184" customHeight="1" spans="1:62">
      <c r="A184" s="35">
        <v>1112</v>
      </c>
      <c r="B184" s="40" t="s">
        <v>93</v>
      </c>
      <c r="C184" s="40"/>
      <c r="D184" s="44" t="s">
        <v>363</v>
      </c>
      <c r="E184" s="43">
        <v>2</v>
      </c>
      <c r="F184" s="35">
        <v>1</v>
      </c>
      <c r="G184" s="35">
        <f t="shared" si="572"/>
        <v>1</v>
      </c>
      <c r="H184" s="35">
        <v>1</v>
      </c>
      <c r="I184" s="35">
        <v>1</v>
      </c>
      <c r="J184" s="35">
        <v>1</v>
      </c>
      <c r="K184" s="35">
        <v>1</v>
      </c>
      <c r="L184" s="35">
        <v>1</v>
      </c>
      <c r="M184" s="35"/>
      <c r="N184">
        <f t="shared" si="573"/>
        <v>4500</v>
      </c>
      <c r="O184" s="35">
        <v>1</v>
      </c>
      <c r="P184" s="24">
        <f>ROUND(INDEX($C$2:$C$5,MATCH($E184,$B$2:$B$5,0))*$F184/SUMIFS($F:$F,$E:$E,$E184,$B:$B,$B184,O:O,1)*IF(B184=$B$10,0.9,1),0)</f>
        <v>750</v>
      </c>
      <c r="Q184" s="24">
        <f t="shared" ref="Q184:U184" si="754">IF($L184&lt;=Q$8,1,0)</f>
        <v>1</v>
      </c>
      <c r="R184" s="24">
        <f>ROUND(INDEX($C$2:$C$5,MATCH($E184,$B$2:$B$5,0))*$I184/SUMIFS($I:$I,$E:$E,$E184,$B:$B,$B184,Q:Q,1)*IF(B184=$B$10,0.9,1),0)</f>
        <v>900</v>
      </c>
      <c r="S184" s="24">
        <f t="shared" si="754"/>
        <v>1</v>
      </c>
      <c r="T184" s="24">
        <f>ROUND(INDEX($C$2:$C$5,MATCH($E184,$B$2:$B$5,0))*$J184/SUMIFS($J:$J,$E:$E,$E184,$B:$B,$B184,S:S,1)*IF(B184=$B$10,0.9,1),0)</f>
        <v>900</v>
      </c>
      <c r="U184" s="24">
        <f t="shared" si="754"/>
        <v>1</v>
      </c>
      <c r="V184" s="24">
        <f>ROUND(INDEX($C$2:$C$5,MATCH($E184,$B$2:$B$5,0))*$K184/SUMIFS($K:$K,$E:$E,$E184,$B:$B,$B184,U:U,1)*IF(B184=$B$10,0.9,1),0)</f>
        <v>900</v>
      </c>
      <c r="W184" s="24">
        <f t="shared" ref="W184:AA184" si="755">IF($L184&lt;=W$8,1,0)</f>
        <v>1</v>
      </c>
      <c r="X184" s="24">
        <f>ROUND(INDEX($C$2:$C$5,MATCH($E184,$B$2:$B$5,0))*$F184/SUMIFS($F:$F,$E:$E,$E184,$B:$B,$B184,W:W,1)*IF(B184=$B$10,0.9,1),0)</f>
        <v>750</v>
      </c>
      <c r="Y184" s="24">
        <f t="shared" si="755"/>
        <v>1</v>
      </c>
      <c r="Z184" s="24">
        <f>ROUND(INDEX($C$2:$C$5,MATCH($E184,$B$2:$B$5,0))*$G184/SUMIFS($G:$G,$E:$E,$E184,$B:$B,$B184,Y:Y,1)*IF(B184=$B$10,0.9,1),0)</f>
        <v>750</v>
      </c>
      <c r="AA184" s="24">
        <f t="shared" si="755"/>
        <v>1</v>
      </c>
      <c r="AB184" s="24">
        <f>ROUND(INDEX($C$2:$C$5,MATCH($E184,$B$2:$B$5,0))*$H184/SUMIFS($H:$H,$E:$E,$E184,$B:$B,$B184,AA:AA,1)*IF(B184=$B$10,0.9,1),0)</f>
        <v>750</v>
      </c>
      <c r="AC184" s="24">
        <f t="shared" ref="AC184:AG184" si="756">IF($L184&lt;=AC$8,1,0)</f>
        <v>1</v>
      </c>
      <c r="AD184" s="24">
        <f>ROUND(INDEX($C$2:$C$5,MATCH($E184,$B$2:$B$5,0))*$F184/SUMIFS($F:$F,$E:$E,$E184,$B:$B,$B184,AC:AC,1)*IF(B184=$B$10,0.9,1),0)</f>
        <v>750</v>
      </c>
      <c r="AE184" s="24">
        <f t="shared" si="756"/>
        <v>1</v>
      </c>
      <c r="AF184" s="24">
        <f>ROUND(INDEX($C$2:$C$5,MATCH($E184,$B$2:$B$5,0))*$G184/SUMIFS($G:$G,$E:$E,$E184,$B:$B,$B184,AE:AE,1)*IF(B184=$B$10,0.9,1),0)</f>
        <v>750</v>
      </c>
      <c r="AG184" s="24">
        <f t="shared" si="756"/>
        <v>1</v>
      </c>
      <c r="AH184" s="24">
        <f>ROUND(INDEX($C$2:$C$5,MATCH($E184,$B$2:$B$5,0))*$H184/SUMIFS($H:$H,$E:$E,$E184,$B:$B,$B184,AG:AG,1)*IF(B184=$B$10,0.9,1),0)</f>
        <v>750</v>
      </c>
      <c r="AI184" s="24">
        <f t="shared" ref="AI184:AM184" si="757">IF($L184&lt;=AI$8,1,0)</f>
        <v>1</v>
      </c>
      <c r="AJ184" s="24">
        <f>ROUND(INDEX($C$2:$C$5,MATCH($E184,$B$2:$B$5,0))*$F184/SUMIFS($F:$F,$E:$E,$E184,$B:$B,$B184,AI:AI,1)*IF(B184=$B$10,0.9,1),0)</f>
        <v>750</v>
      </c>
      <c r="AK184" s="24">
        <f t="shared" si="757"/>
        <v>1</v>
      </c>
      <c r="AL184" s="24">
        <f>ROUND(INDEX($C$2:$C$5,MATCH($E184,$B$2:$B$5,0))*$G184/SUMIFS($G:$G,$E:$E,$E184,$B:$B,$B184,AK:AK,1)*IF(B184=$B$10,0.9,1),0)</f>
        <v>750</v>
      </c>
      <c r="AM184" s="24">
        <f t="shared" si="757"/>
        <v>1</v>
      </c>
      <c r="AN184" s="24">
        <f>ROUND(INDEX($C$2:$C$5,MATCH($E184,$B$2:$B$5,0))*$H184/SUMIFS($H:$H,$E:$E,$E184,$B:$B,$B184,AM:AM,1)*IF(B184=$B$10,0.9,1),0)</f>
        <v>750</v>
      </c>
      <c r="AX184" s="4" t="str">
        <f t="shared" si="559"/>
        <v>1,750</v>
      </c>
      <c r="AY184" s="4" t="str">
        <f t="shared" si="560"/>
        <v>1,900</v>
      </c>
      <c r="AZ184" s="4" t="str">
        <f t="shared" si="561"/>
        <v>1,900</v>
      </c>
      <c r="BA184" s="4" t="str">
        <f t="shared" si="562"/>
        <v>1,900</v>
      </c>
      <c r="BB184" s="4" t="str">
        <f t="shared" si="563"/>
        <v>1,750</v>
      </c>
      <c r="BC184" s="4" t="str">
        <f t="shared" si="564"/>
        <v>1,750</v>
      </c>
      <c r="BD184" s="4" t="str">
        <f t="shared" si="565"/>
        <v>1,750</v>
      </c>
      <c r="BE184" s="4" t="str">
        <f t="shared" si="566"/>
        <v>1,750</v>
      </c>
      <c r="BF184" s="4" t="str">
        <f t="shared" si="567"/>
        <v>1,750</v>
      </c>
      <c r="BG184" s="4" t="str">
        <f t="shared" si="568"/>
        <v>1,750</v>
      </c>
      <c r="BH184" s="4" t="str">
        <f t="shared" si="569"/>
        <v>1,750</v>
      </c>
      <c r="BI184" s="4" t="str">
        <f t="shared" si="570"/>
        <v>1,750</v>
      </c>
      <c r="BJ184" s="4" t="str">
        <f t="shared" si="571"/>
        <v>1,750</v>
      </c>
    </row>
    <row r="185" customHeight="1" spans="1:62">
      <c r="A185" s="35">
        <v>1113</v>
      </c>
      <c r="B185" s="40" t="s">
        <v>93</v>
      </c>
      <c r="C185" s="40"/>
      <c r="D185" s="44" t="s">
        <v>364</v>
      </c>
      <c r="E185" s="43">
        <v>2</v>
      </c>
      <c r="F185" s="35">
        <v>1</v>
      </c>
      <c r="G185" s="35">
        <f t="shared" si="572"/>
        <v>1</v>
      </c>
      <c r="H185" s="35">
        <v>1</v>
      </c>
      <c r="I185" s="35">
        <v>1</v>
      </c>
      <c r="J185" s="35">
        <v>1</v>
      </c>
      <c r="K185" s="35">
        <v>1</v>
      </c>
      <c r="L185" s="35">
        <v>1</v>
      </c>
      <c r="M185" s="35"/>
      <c r="N185">
        <f t="shared" si="573"/>
        <v>4500</v>
      </c>
      <c r="O185" s="35">
        <v>1</v>
      </c>
      <c r="P185" s="24">
        <f>ROUND(INDEX($C$2:$C$5,MATCH($E185,$B$2:$B$5,0))*$F185/SUMIFS($F:$F,$E:$E,$E185,$B:$B,$B185,O:O,1)*IF(B185=$B$10,0.9,1),0)</f>
        <v>750</v>
      </c>
      <c r="Q185" s="24">
        <f t="shared" ref="Q185:U185" si="758">IF($L185&lt;=Q$8,1,0)</f>
        <v>1</v>
      </c>
      <c r="R185" s="24">
        <f>ROUND(INDEX($C$2:$C$5,MATCH($E185,$B$2:$B$5,0))*$I185/SUMIFS($I:$I,$E:$E,$E185,$B:$B,$B185,Q:Q,1)*IF(B185=$B$10,0.9,1),0)</f>
        <v>900</v>
      </c>
      <c r="S185" s="24">
        <f t="shared" si="758"/>
        <v>1</v>
      </c>
      <c r="T185" s="24">
        <f>ROUND(INDEX($C$2:$C$5,MATCH($E185,$B$2:$B$5,0))*$J185/SUMIFS($J:$J,$E:$E,$E185,$B:$B,$B185,S:S,1)*IF(B185=$B$10,0.9,1),0)</f>
        <v>900</v>
      </c>
      <c r="U185" s="24">
        <f t="shared" si="758"/>
        <v>1</v>
      </c>
      <c r="V185" s="24">
        <f>ROUND(INDEX($C$2:$C$5,MATCH($E185,$B$2:$B$5,0))*$K185/SUMIFS($K:$K,$E:$E,$E185,$B:$B,$B185,U:U,1)*IF(B185=$B$10,0.9,1),0)</f>
        <v>900</v>
      </c>
      <c r="W185" s="24">
        <f t="shared" ref="W185:AA185" si="759">IF($L185&lt;=W$8,1,0)</f>
        <v>1</v>
      </c>
      <c r="X185" s="24">
        <f>ROUND(INDEX($C$2:$C$5,MATCH($E185,$B$2:$B$5,0))*$F185/SUMIFS($F:$F,$E:$E,$E185,$B:$B,$B185,W:W,1)*IF(B185=$B$10,0.9,1),0)</f>
        <v>750</v>
      </c>
      <c r="Y185" s="24">
        <f t="shared" si="759"/>
        <v>1</v>
      </c>
      <c r="Z185" s="24">
        <f>ROUND(INDEX($C$2:$C$5,MATCH($E185,$B$2:$B$5,0))*$G185/SUMIFS($G:$G,$E:$E,$E185,$B:$B,$B185,Y:Y,1)*IF(B185=$B$10,0.9,1),0)</f>
        <v>750</v>
      </c>
      <c r="AA185" s="24">
        <f t="shared" si="759"/>
        <v>1</v>
      </c>
      <c r="AB185" s="24">
        <f>ROUND(INDEX($C$2:$C$5,MATCH($E185,$B$2:$B$5,0))*$H185/SUMIFS($H:$H,$E:$E,$E185,$B:$B,$B185,AA:AA,1)*IF(B185=$B$10,0.9,1),0)</f>
        <v>750</v>
      </c>
      <c r="AC185" s="24">
        <f t="shared" ref="AC185:AG185" si="760">IF($L185&lt;=AC$8,1,0)</f>
        <v>1</v>
      </c>
      <c r="AD185" s="24">
        <f>ROUND(INDEX($C$2:$C$5,MATCH($E185,$B$2:$B$5,0))*$F185/SUMIFS($F:$F,$E:$E,$E185,$B:$B,$B185,AC:AC,1)*IF(B185=$B$10,0.9,1),0)</f>
        <v>750</v>
      </c>
      <c r="AE185" s="24">
        <f t="shared" si="760"/>
        <v>1</v>
      </c>
      <c r="AF185" s="24">
        <f>ROUND(INDEX($C$2:$C$5,MATCH($E185,$B$2:$B$5,0))*$G185/SUMIFS($G:$G,$E:$E,$E185,$B:$B,$B185,AE:AE,1)*IF(B185=$B$10,0.9,1),0)</f>
        <v>750</v>
      </c>
      <c r="AG185" s="24">
        <f t="shared" si="760"/>
        <v>1</v>
      </c>
      <c r="AH185" s="24">
        <f>ROUND(INDEX($C$2:$C$5,MATCH($E185,$B$2:$B$5,0))*$H185/SUMIFS($H:$H,$E:$E,$E185,$B:$B,$B185,AG:AG,1)*IF(B185=$B$10,0.9,1),0)</f>
        <v>750</v>
      </c>
      <c r="AI185" s="24">
        <f t="shared" ref="AI185:AM185" si="761">IF($L185&lt;=AI$8,1,0)</f>
        <v>1</v>
      </c>
      <c r="AJ185" s="24">
        <f>ROUND(INDEX($C$2:$C$5,MATCH($E185,$B$2:$B$5,0))*$F185/SUMIFS($F:$F,$E:$E,$E185,$B:$B,$B185,AI:AI,1)*IF(B185=$B$10,0.9,1),0)</f>
        <v>750</v>
      </c>
      <c r="AK185" s="24">
        <f t="shared" si="761"/>
        <v>1</v>
      </c>
      <c r="AL185" s="24">
        <f>ROUND(INDEX($C$2:$C$5,MATCH($E185,$B$2:$B$5,0))*$G185/SUMIFS($G:$G,$E:$E,$E185,$B:$B,$B185,AK:AK,1)*IF(B185=$B$10,0.9,1),0)</f>
        <v>750</v>
      </c>
      <c r="AM185" s="24">
        <f t="shared" si="761"/>
        <v>1</v>
      </c>
      <c r="AN185" s="24">
        <f>ROUND(INDEX($C$2:$C$5,MATCH($E185,$B$2:$B$5,0))*$H185/SUMIFS($H:$H,$E:$E,$E185,$B:$B,$B185,AM:AM,1)*IF(B185=$B$10,0.9,1),0)</f>
        <v>750</v>
      </c>
      <c r="AX185" s="4" t="str">
        <f t="shared" si="559"/>
        <v>1,750</v>
      </c>
      <c r="AY185" s="4" t="str">
        <f t="shared" si="560"/>
        <v>1,900</v>
      </c>
      <c r="AZ185" s="4" t="str">
        <f t="shared" si="561"/>
        <v>1,900</v>
      </c>
      <c r="BA185" s="4" t="str">
        <f t="shared" si="562"/>
        <v>1,900</v>
      </c>
      <c r="BB185" s="4" t="str">
        <f t="shared" si="563"/>
        <v>1,750</v>
      </c>
      <c r="BC185" s="4" t="str">
        <f t="shared" si="564"/>
        <v>1,750</v>
      </c>
      <c r="BD185" s="4" t="str">
        <f t="shared" si="565"/>
        <v>1,750</v>
      </c>
      <c r="BE185" s="4" t="str">
        <f t="shared" si="566"/>
        <v>1,750</v>
      </c>
      <c r="BF185" s="4" t="str">
        <f t="shared" si="567"/>
        <v>1,750</v>
      </c>
      <c r="BG185" s="4" t="str">
        <f t="shared" si="568"/>
        <v>1,750</v>
      </c>
      <c r="BH185" s="4" t="str">
        <f t="shared" si="569"/>
        <v>1,750</v>
      </c>
      <c r="BI185" s="4" t="str">
        <f t="shared" si="570"/>
        <v>1,750</v>
      </c>
      <c r="BJ185" s="4" t="str">
        <f t="shared" si="571"/>
        <v>1,750</v>
      </c>
    </row>
    <row r="186" customHeight="1" spans="1:62">
      <c r="A186" s="35">
        <v>1114</v>
      </c>
      <c r="B186" s="40" t="s">
        <v>93</v>
      </c>
      <c r="C186" s="40"/>
      <c r="D186" s="44" t="s">
        <v>365</v>
      </c>
      <c r="E186" s="43">
        <v>2</v>
      </c>
      <c r="F186" s="35">
        <v>1</v>
      </c>
      <c r="G186" s="35">
        <f t="shared" si="572"/>
        <v>1</v>
      </c>
      <c r="H186" s="35">
        <v>1</v>
      </c>
      <c r="I186" s="35">
        <v>1</v>
      </c>
      <c r="J186" s="35">
        <v>1</v>
      </c>
      <c r="K186" s="35">
        <v>1</v>
      </c>
      <c r="L186" s="35">
        <v>1</v>
      </c>
      <c r="M186" s="35" t="s">
        <v>136</v>
      </c>
      <c r="N186">
        <f t="shared" si="573"/>
        <v>4500</v>
      </c>
      <c r="O186" s="35">
        <v>1</v>
      </c>
      <c r="P186" s="24">
        <f>ROUND(INDEX($C$2:$C$5,MATCH($E186,$B$2:$B$5,0))*$F186/SUMIFS($F:$F,$E:$E,$E186,$B:$B,$B186,O:O,1)*IF(B186=$B$10,0.9,1),0)</f>
        <v>750</v>
      </c>
      <c r="Q186" s="24">
        <f t="shared" ref="Q186:U186" si="762">IF($L186&lt;=Q$8,1,0)</f>
        <v>1</v>
      </c>
      <c r="R186" s="24">
        <f>ROUND(INDEX($C$2:$C$5,MATCH($E186,$B$2:$B$5,0))*$I186/SUMIFS($I:$I,$E:$E,$E186,$B:$B,$B186,Q:Q,1)*IF(B186=$B$10,0.9,1),0)</f>
        <v>900</v>
      </c>
      <c r="S186" s="24">
        <f t="shared" si="762"/>
        <v>1</v>
      </c>
      <c r="T186" s="24">
        <f>ROUND(INDEX($C$2:$C$5,MATCH($E186,$B$2:$B$5,0))*$J186/SUMIFS($J:$J,$E:$E,$E186,$B:$B,$B186,S:S,1)*IF(B186=$B$10,0.9,1),0)</f>
        <v>900</v>
      </c>
      <c r="U186" s="24">
        <f t="shared" si="762"/>
        <v>1</v>
      </c>
      <c r="V186" s="24">
        <f>ROUND(INDEX($C$2:$C$5,MATCH($E186,$B$2:$B$5,0))*$K186/SUMIFS($K:$K,$E:$E,$E186,$B:$B,$B186,U:U,1)*IF(B186=$B$10,0.9,1),0)</f>
        <v>900</v>
      </c>
      <c r="W186" s="24">
        <f t="shared" ref="W186:AA186" si="763">IF($L186&lt;=W$8,1,0)</f>
        <v>1</v>
      </c>
      <c r="X186" s="24">
        <f>ROUND(INDEX($C$2:$C$5,MATCH($E186,$B$2:$B$5,0))*$F186/SUMIFS($F:$F,$E:$E,$E186,$B:$B,$B186,W:W,1)*IF(B186=$B$10,0.9,1),0)</f>
        <v>750</v>
      </c>
      <c r="Y186" s="24">
        <f t="shared" si="763"/>
        <v>1</v>
      </c>
      <c r="Z186" s="24">
        <f>ROUND(INDEX($C$2:$C$5,MATCH($E186,$B$2:$B$5,0))*$G186/SUMIFS($G:$G,$E:$E,$E186,$B:$B,$B186,Y:Y,1)*IF(B186=$B$10,0.9,1),0)</f>
        <v>750</v>
      </c>
      <c r="AA186" s="24">
        <f t="shared" si="763"/>
        <v>1</v>
      </c>
      <c r="AB186" s="24">
        <f>ROUND(INDEX($C$2:$C$5,MATCH($E186,$B$2:$B$5,0))*$H186/SUMIFS($H:$H,$E:$E,$E186,$B:$B,$B186,AA:AA,1)*IF(B186=$B$10,0.9,1),0)</f>
        <v>750</v>
      </c>
      <c r="AC186" s="24">
        <f t="shared" ref="AC186:AG186" si="764">IF($L186&lt;=AC$8,1,0)</f>
        <v>1</v>
      </c>
      <c r="AD186" s="24">
        <f>ROUND(INDEX($C$2:$C$5,MATCH($E186,$B$2:$B$5,0))*$F186/SUMIFS($F:$F,$E:$E,$E186,$B:$B,$B186,AC:AC,1)*IF(B186=$B$10,0.9,1),0)</f>
        <v>750</v>
      </c>
      <c r="AE186" s="24">
        <f t="shared" si="764"/>
        <v>1</v>
      </c>
      <c r="AF186" s="24">
        <f>ROUND(INDEX($C$2:$C$5,MATCH($E186,$B$2:$B$5,0))*$G186/SUMIFS($G:$G,$E:$E,$E186,$B:$B,$B186,AE:AE,1)*IF(B186=$B$10,0.9,1),0)</f>
        <v>750</v>
      </c>
      <c r="AG186" s="24">
        <f t="shared" si="764"/>
        <v>1</v>
      </c>
      <c r="AH186" s="24">
        <f>ROUND(INDEX($C$2:$C$5,MATCH($E186,$B$2:$B$5,0))*$H186/SUMIFS($H:$H,$E:$E,$E186,$B:$B,$B186,AG:AG,1)*IF(B186=$B$10,0.9,1),0)</f>
        <v>750</v>
      </c>
      <c r="AI186" s="24">
        <f t="shared" ref="AI186:AM186" si="765">IF($L186&lt;=AI$8,1,0)</f>
        <v>1</v>
      </c>
      <c r="AJ186" s="24">
        <f>ROUND(INDEX($C$2:$C$5,MATCH($E186,$B$2:$B$5,0))*$F186/SUMIFS($F:$F,$E:$E,$E186,$B:$B,$B186,AI:AI,1)*IF(B186=$B$10,0.9,1),0)</f>
        <v>750</v>
      </c>
      <c r="AK186" s="24">
        <f t="shared" si="765"/>
        <v>1</v>
      </c>
      <c r="AL186" s="24">
        <f>ROUND(INDEX($C$2:$C$5,MATCH($E186,$B$2:$B$5,0))*$G186/SUMIFS($G:$G,$E:$E,$E186,$B:$B,$B186,AK:AK,1)*IF(B186=$B$10,0.9,1),0)</f>
        <v>750</v>
      </c>
      <c r="AM186" s="24">
        <f t="shared" si="765"/>
        <v>1</v>
      </c>
      <c r="AN186" s="24">
        <f>ROUND(INDEX($C$2:$C$5,MATCH($E186,$B$2:$B$5,0))*$H186/SUMIFS($H:$H,$E:$E,$E186,$B:$B,$B186,AM:AM,1)*IF(B186=$B$10,0.9,1),0)</f>
        <v>750</v>
      </c>
      <c r="AX186" s="4" t="str">
        <f t="shared" si="559"/>
        <v>1,750</v>
      </c>
      <c r="AY186" s="4" t="str">
        <f t="shared" si="560"/>
        <v>1,900</v>
      </c>
      <c r="AZ186" s="4" t="str">
        <f t="shared" si="561"/>
        <v>1,900</v>
      </c>
      <c r="BA186" s="4" t="str">
        <f t="shared" si="562"/>
        <v>1,900</v>
      </c>
      <c r="BB186" s="4" t="str">
        <f t="shared" si="563"/>
        <v>1,750</v>
      </c>
      <c r="BC186" s="4" t="str">
        <f t="shared" si="564"/>
        <v>1,750</v>
      </c>
      <c r="BD186" s="4" t="str">
        <f t="shared" si="565"/>
        <v>1,750</v>
      </c>
      <c r="BE186" s="4" t="str">
        <f t="shared" si="566"/>
        <v>1,750</v>
      </c>
      <c r="BF186" s="4" t="str">
        <f t="shared" si="567"/>
        <v>1,750</v>
      </c>
      <c r="BG186" s="4" t="str">
        <f t="shared" si="568"/>
        <v>1,750</v>
      </c>
      <c r="BH186" s="4" t="str">
        <f t="shared" si="569"/>
        <v>1,750</v>
      </c>
      <c r="BI186" s="4" t="str">
        <f t="shared" si="570"/>
        <v>1,750</v>
      </c>
      <c r="BJ186" s="4" t="str">
        <f t="shared" si="571"/>
        <v>1,750</v>
      </c>
    </row>
    <row r="187" customHeight="1" spans="1:62">
      <c r="A187" s="35">
        <v>1121</v>
      </c>
      <c r="B187" s="40" t="s">
        <v>93</v>
      </c>
      <c r="C187" s="40"/>
      <c r="D187" s="46" t="s">
        <v>366</v>
      </c>
      <c r="E187" s="45">
        <v>3</v>
      </c>
      <c r="F187" s="35">
        <v>1</v>
      </c>
      <c r="G187" s="35">
        <f t="shared" si="572"/>
        <v>1</v>
      </c>
      <c r="H187" s="35">
        <v>1</v>
      </c>
      <c r="I187" s="35">
        <v>1</v>
      </c>
      <c r="J187" s="35">
        <v>1</v>
      </c>
      <c r="K187" s="35">
        <v>1</v>
      </c>
      <c r="L187" s="35">
        <v>1</v>
      </c>
      <c r="M187" s="35"/>
      <c r="N187">
        <f t="shared" si="573"/>
        <v>1500</v>
      </c>
      <c r="O187" s="35">
        <v>1</v>
      </c>
      <c r="P187" s="24">
        <f>ROUND(INDEX($C$2:$C$5,MATCH($E187,$B$2:$B$5,0))*$F187/SUMIFS($F:$F,$E:$E,$E187,$B:$B,$B187,O:O,1)*IF(B187=$B$10,0.9,1),0)</f>
        <v>250</v>
      </c>
      <c r="Q187" s="24">
        <f t="shared" ref="Q187:U187" si="766">IF($L187&lt;=Q$8,1,0)</f>
        <v>1</v>
      </c>
      <c r="R187" s="24">
        <f>ROUND(INDEX($C$2:$C$5,MATCH($E187,$B$2:$B$5,0))*$I187/SUMIFS($I:$I,$E:$E,$E187,$B:$B,$B187,Q:Q,1)*IF(B187=$B$10,0.9,1),0)</f>
        <v>300</v>
      </c>
      <c r="S187" s="24">
        <f t="shared" si="766"/>
        <v>1</v>
      </c>
      <c r="T187" s="24">
        <f>ROUND(INDEX($C$2:$C$5,MATCH($E187,$B$2:$B$5,0))*$J187/SUMIFS($J:$J,$E:$E,$E187,$B:$B,$B187,S:S,1)*IF(B187=$B$10,0.9,1),0)</f>
        <v>300</v>
      </c>
      <c r="U187" s="24">
        <f t="shared" si="766"/>
        <v>1</v>
      </c>
      <c r="V187" s="24">
        <f>ROUND(INDEX($C$2:$C$5,MATCH($E187,$B$2:$B$5,0))*$K187/SUMIFS($K:$K,$E:$E,$E187,$B:$B,$B187,U:U,1)*IF(B187=$B$10,0.9,1),0)</f>
        <v>300</v>
      </c>
      <c r="W187" s="24">
        <f t="shared" ref="W187:AA187" si="767">IF($L187&lt;=W$8,1,0)</f>
        <v>1</v>
      </c>
      <c r="X187" s="24">
        <f>ROUND(INDEX($C$2:$C$5,MATCH($E187,$B$2:$B$5,0))*$F187/SUMIFS($F:$F,$E:$E,$E187,$B:$B,$B187,W:W,1)*IF(B187=$B$10,0.9,1),0)</f>
        <v>250</v>
      </c>
      <c r="Y187" s="24">
        <f t="shared" si="767"/>
        <v>1</v>
      </c>
      <c r="Z187" s="24">
        <f>ROUND(INDEX($C$2:$C$5,MATCH($E187,$B$2:$B$5,0))*$G187/SUMIFS($G:$G,$E:$E,$E187,$B:$B,$B187,Y:Y,1)*IF(B187=$B$10,0.9,1),0)</f>
        <v>250</v>
      </c>
      <c r="AA187" s="24">
        <f t="shared" si="767"/>
        <v>1</v>
      </c>
      <c r="AB187" s="24">
        <f>ROUND(INDEX($C$2:$C$5,MATCH($E187,$B$2:$B$5,0))*$H187/SUMIFS($H:$H,$E:$E,$E187,$B:$B,$B187,AA:AA,1)*IF(B187=$B$10,0.9,1),0)</f>
        <v>250</v>
      </c>
      <c r="AC187" s="24">
        <f t="shared" ref="AC187:AG187" si="768">IF($L187&lt;=AC$8,1,0)</f>
        <v>1</v>
      </c>
      <c r="AD187" s="24">
        <f>ROUND(INDEX($C$2:$C$5,MATCH($E187,$B$2:$B$5,0))*$F187/SUMIFS($F:$F,$E:$E,$E187,$B:$B,$B187,AC:AC,1)*IF(B187=$B$10,0.9,1),0)</f>
        <v>250</v>
      </c>
      <c r="AE187" s="24">
        <f t="shared" si="768"/>
        <v>1</v>
      </c>
      <c r="AF187" s="24">
        <f>ROUND(INDEX($C$2:$C$5,MATCH($E187,$B$2:$B$5,0))*$G187/SUMIFS($G:$G,$E:$E,$E187,$B:$B,$B187,AE:AE,1)*IF(B187=$B$10,0.9,1),0)</f>
        <v>250</v>
      </c>
      <c r="AG187" s="24">
        <f t="shared" si="768"/>
        <v>1</v>
      </c>
      <c r="AH187" s="24">
        <f>ROUND(INDEX($C$2:$C$5,MATCH($E187,$B$2:$B$5,0))*$H187/SUMIFS($H:$H,$E:$E,$E187,$B:$B,$B187,AG:AG,1)*IF(B187=$B$10,0.9,1),0)</f>
        <v>250</v>
      </c>
      <c r="AI187" s="24">
        <f t="shared" ref="AI187:AM187" si="769">IF($L187&lt;=AI$8,1,0)</f>
        <v>1</v>
      </c>
      <c r="AJ187" s="24">
        <f>ROUND(INDEX($C$2:$C$5,MATCH($E187,$B$2:$B$5,0))*$F187/SUMIFS($F:$F,$E:$E,$E187,$B:$B,$B187,AI:AI,1)*IF(B187=$B$10,0.9,1),0)</f>
        <v>250</v>
      </c>
      <c r="AK187" s="24">
        <f t="shared" si="769"/>
        <v>1</v>
      </c>
      <c r="AL187" s="24">
        <f>ROUND(INDEX($C$2:$C$5,MATCH($E187,$B$2:$B$5,0))*$G187/SUMIFS($G:$G,$E:$E,$E187,$B:$B,$B187,AK:AK,1)*IF(B187=$B$10,0.9,1),0)</f>
        <v>250</v>
      </c>
      <c r="AM187" s="24">
        <f t="shared" si="769"/>
        <v>1</v>
      </c>
      <c r="AN187" s="24">
        <f>ROUND(INDEX($C$2:$C$5,MATCH($E187,$B$2:$B$5,0))*$H187/SUMIFS($H:$H,$E:$E,$E187,$B:$B,$B187,AM:AM,1)*IF(B187=$B$10,0.9,1),0)</f>
        <v>250</v>
      </c>
      <c r="AX187" s="4" t="str">
        <f t="shared" si="559"/>
        <v>1,250</v>
      </c>
      <c r="AY187" s="4" t="str">
        <f t="shared" si="560"/>
        <v>1,300</v>
      </c>
      <c r="AZ187" s="4" t="str">
        <f t="shared" si="561"/>
        <v>1,300</v>
      </c>
      <c r="BA187" s="4" t="str">
        <f t="shared" si="562"/>
        <v>1,300</v>
      </c>
      <c r="BB187" s="4" t="str">
        <f t="shared" si="563"/>
        <v>1,250</v>
      </c>
      <c r="BC187" s="4" t="str">
        <f t="shared" si="564"/>
        <v>1,250</v>
      </c>
      <c r="BD187" s="4" t="str">
        <f t="shared" si="565"/>
        <v>1,250</v>
      </c>
      <c r="BE187" s="4" t="str">
        <f t="shared" si="566"/>
        <v>1,250</v>
      </c>
      <c r="BF187" s="4" t="str">
        <f t="shared" si="567"/>
        <v>1,250</v>
      </c>
      <c r="BG187" s="4" t="str">
        <f t="shared" si="568"/>
        <v>1,250</v>
      </c>
      <c r="BH187" s="4" t="str">
        <f t="shared" si="569"/>
        <v>1,250</v>
      </c>
      <c r="BI187" s="4" t="str">
        <f t="shared" si="570"/>
        <v>1,250</v>
      </c>
      <c r="BJ187" s="4" t="str">
        <f t="shared" si="571"/>
        <v>1,250</v>
      </c>
    </row>
    <row r="188" customHeight="1" spans="1:62">
      <c r="A188" s="35">
        <v>1122</v>
      </c>
      <c r="B188" s="40" t="s">
        <v>93</v>
      </c>
      <c r="C188" s="40"/>
      <c r="D188" s="46" t="s">
        <v>367</v>
      </c>
      <c r="E188" s="45">
        <v>3</v>
      </c>
      <c r="F188" s="35">
        <v>1</v>
      </c>
      <c r="G188" s="35">
        <f t="shared" si="572"/>
        <v>1</v>
      </c>
      <c r="H188" s="35">
        <v>1</v>
      </c>
      <c r="I188" s="35">
        <v>1</v>
      </c>
      <c r="J188" s="35">
        <v>1</v>
      </c>
      <c r="K188" s="35">
        <v>1</v>
      </c>
      <c r="L188" s="35">
        <v>1</v>
      </c>
      <c r="M188" s="35"/>
      <c r="N188">
        <f t="shared" si="573"/>
        <v>1500</v>
      </c>
      <c r="O188" s="35">
        <v>1</v>
      </c>
      <c r="P188" s="24">
        <f>ROUND(INDEX($C$2:$C$5,MATCH($E188,$B$2:$B$5,0))*$F188/SUMIFS($F:$F,$E:$E,$E188,$B:$B,$B188,O:O,1)*IF(B188=$B$10,0.9,1),0)</f>
        <v>250</v>
      </c>
      <c r="Q188" s="24">
        <f t="shared" ref="Q188:U188" si="770">IF($L188&lt;=Q$8,1,0)</f>
        <v>1</v>
      </c>
      <c r="R188" s="24">
        <f>ROUND(INDEX($C$2:$C$5,MATCH($E188,$B$2:$B$5,0))*$I188/SUMIFS($I:$I,$E:$E,$E188,$B:$B,$B188,Q:Q,1)*IF(B188=$B$10,0.9,1),0)</f>
        <v>300</v>
      </c>
      <c r="S188" s="24">
        <f t="shared" si="770"/>
        <v>1</v>
      </c>
      <c r="T188" s="24">
        <f>ROUND(INDEX($C$2:$C$5,MATCH($E188,$B$2:$B$5,0))*$J188/SUMIFS($J:$J,$E:$E,$E188,$B:$B,$B188,S:S,1)*IF(B188=$B$10,0.9,1),0)</f>
        <v>300</v>
      </c>
      <c r="U188" s="24">
        <f t="shared" si="770"/>
        <v>1</v>
      </c>
      <c r="V188" s="24">
        <f>ROUND(INDEX($C$2:$C$5,MATCH($E188,$B$2:$B$5,0))*$K188/SUMIFS($K:$K,$E:$E,$E188,$B:$B,$B188,U:U,1)*IF(B188=$B$10,0.9,1),0)</f>
        <v>300</v>
      </c>
      <c r="W188" s="24">
        <f t="shared" ref="W188:AA188" si="771">IF($L188&lt;=W$8,1,0)</f>
        <v>1</v>
      </c>
      <c r="X188" s="24">
        <f>ROUND(INDEX($C$2:$C$5,MATCH($E188,$B$2:$B$5,0))*$F188/SUMIFS($F:$F,$E:$E,$E188,$B:$B,$B188,W:W,1)*IF(B188=$B$10,0.9,1),0)</f>
        <v>250</v>
      </c>
      <c r="Y188" s="24">
        <f t="shared" si="771"/>
        <v>1</v>
      </c>
      <c r="Z188" s="24">
        <f>ROUND(INDEX($C$2:$C$5,MATCH($E188,$B$2:$B$5,0))*$G188/SUMIFS($G:$G,$E:$E,$E188,$B:$B,$B188,Y:Y,1)*IF(B188=$B$10,0.9,1),0)</f>
        <v>250</v>
      </c>
      <c r="AA188" s="24">
        <f t="shared" si="771"/>
        <v>1</v>
      </c>
      <c r="AB188" s="24">
        <f>ROUND(INDEX($C$2:$C$5,MATCH($E188,$B$2:$B$5,0))*$H188/SUMIFS($H:$H,$E:$E,$E188,$B:$B,$B188,AA:AA,1)*IF(B188=$B$10,0.9,1),0)</f>
        <v>250</v>
      </c>
      <c r="AC188" s="24">
        <f t="shared" ref="AC188:AG188" si="772">IF($L188&lt;=AC$8,1,0)</f>
        <v>1</v>
      </c>
      <c r="AD188" s="24">
        <f>ROUND(INDEX($C$2:$C$5,MATCH($E188,$B$2:$B$5,0))*$F188/SUMIFS($F:$F,$E:$E,$E188,$B:$B,$B188,AC:AC,1)*IF(B188=$B$10,0.9,1),0)</f>
        <v>250</v>
      </c>
      <c r="AE188" s="24">
        <f t="shared" si="772"/>
        <v>1</v>
      </c>
      <c r="AF188" s="24">
        <f>ROUND(INDEX($C$2:$C$5,MATCH($E188,$B$2:$B$5,0))*$G188/SUMIFS($G:$G,$E:$E,$E188,$B:$B,$B188,AE:AE,1)*IF(B188=$B$10,0.9,1),0)</f>
        <v>250</v>
      </c>
      <c r="AG188" s="24">
        <f t="shared" si="772"/>
        <v>1</v>
      </c>
      <c r="AH188" s="24">
        <f>ROUND(INDEX($C$2:$C$5,MATCH($E188,$B$2:$B$5,0))*$H188/SUMIFS($H:$H,$E:$E,$E188,$B:$B,$B188,AG:AG,1)*IF(B188=$B$10,0.9,1),0)</f>
        <v>250</v>
      </c>
      <c r="AI188" s="24">
        <f t="shared" ref="AI188:AM188" si="773">IF($L188&lt;=AI$8,1,0)</f>
        <v>1</v>
      </c>
      <c r="AJ188" s="24">
        <f>ROUND(INDEX($C$2:$C$5,MATCH($E188,$B$2:$B$5,0))*$F188/SUMIFS($F:$F,$E:$E,$E188,$B:$B,$B188,AI:AI,1)*IF(B188=$B$10,0.9,1),0)</f>
        <v>250</v>
      </c>
      <c r="AK188" s="24">
        <f t="shared" si="773"/>
        <v>1</v>
      </c>
      <c r="AL188" s="24">
        <f>ROUND(INDEX($C$2:$C$5,MATCH($E188,$B$2:$B$5,0))*$G188/SUMIFS($G:$G,$E:$E,$E188,$B:$B,$B188,AK:AK,1)*IF(B188=$B$10,0.9,1),0)</f>
        <v>250</v>
      </c>
      <c r="AM188" s="24">
        <f t="shared" si="773"/>
        <v>1</v>
      </c>
      <c r="AN188" s="24">
        <f>ROUND(INDEX($C$2:$C$5,MATCH($E188,$B$2:$B$5,0))*$H188/SUMIFS($H:$H,$E:$E,$E188,$B:$B,$B188,AM:AM,1)*IF(B188=$B$10,0.9,1),0)</f>
        <v>250</v>
      </c>
      <c r="AX188" s="4" t="str">
        <f t="shared" si="559"/>
        <v>1,250</v>
      </c>
      <c r="AY188" s="4" t="str">
        <f t="shared" si="560"/>
        <v>1,300</v>
      </c>
      <c r="AZ188" s="4" t="str">
        <f t="shared" si="561"/>
        <v>1,300</v>
      </c>
      <c r="BA188" s="4" t="str">
        <f t="shared" si="562"/>
        <v>1,300</v>
      </c>
      <c r="BB188" s="4" t="str">
        <f t="shared" si="563"/>
        <v>1,250</v>
      </c>
      <c r="BC188" s="4" t="str">
        <f t="shared" si="564"/>
        <v>1,250</v>
      </c>
      <c r="BD188" s="4" t="str">
        <f t="shared" si="565"/>
        <v>1,250</v>
      </c>
      <c r="BE188" s="4" t="str">
        <f t="shared" si="566"/>
        <v>1,250</v>
      </c>
      <c r="BF188" s="4" t="str">
        <f t="shared" si="567"/>
        <v>1,250</v>
      </c>
      <c r="BG188" s="4" t="str">
        <f t="shared" si="568"/>
        <v>1,250</v>
      </c>
      <c r="BH188" s="4" t="str">
        <f t="shared" si="569"/>
        <v>1,250</v>
      </c>
      <c r="BI188" s="4" t="str">
        <f t="shared" si="570"/>
        <v>1,250</v>
      </c>
      <c r="BJ188" s="4" t="str">
        <f t="shared" si="571"/>
        <v>1,250</v>
      </c>
    </row>
    <row r="189" customHeight="1" spans="1:62">
      <c r="A189" s="35">
        <v>1123</v>
      </c>
      <c r="B189" s="40" t="s">
        <v>93</v>
      </c>
      <c r="C189" s="40" t="s">
        <v>218</v>
      </c>
      <c r="D189" s="46" t="s">
        <v>368</v>
      </c>
      <c r="E189" s="45">
        <v>3</v>
      </c>
      <c r="F189" s="35">
        <v>1</v>
      </c>
      <c r="G189" s="35">
        <f t="shared" si="572"/>
        <v>1</v>
      </c>
      <c r="H189" s="35">
        <v>1</v>
      </c>
      <c r="I189" s="35">
        <v>1</v>
      </c>
      <c r="J189" s="35">
        <v>1</v>
      </c>
      <c r="K189" s="35">
        <v>1</v>
      </c>
      <c r="L189" s="35">
        <v>1</v>
      </c>
      <c r="M189" s="35" t="s">
        <v>136</v>
      </c>
      <c r="N189">
        <f t="shared" si="573"/>
        <v>1500</v>
      </c>
      <c r="O189" s="35">
        <v>1</v>
      </c>
      <c r="P189" s="24">
        <f>ROUND(INDEX($C$2:$C$5,MATCH($E189,$B$2:$B$5,0))*$F189/SUMIFS($F:$F,$E:$E,$E189,$B:$B,$B189,O:O,1)*IF(B189=$B$10,0.9,1),0)</f>
        <v>250</v>
      </c>
      <c r="Q189" s="24">
        <f t="shared" ref="Q189:U189" si="774">IF($L189&lt;=Q$8,1,0)</f>
        <v>1</v>
      </c>
      <c r="R189" s="24">
        <f>ROUND(INDEX($C$2:$C$5,MATCH($E189,$B$2:$B$5,0))*$I189/SUMIFS($I:$I,$E:$E,$E189,$B:$B,$B189,Q:Q,1)*IF(B189=$B$10,0.9,1),0)</f>
        <v>300</v>
      </c>
      <c r="S189" s="24">
        <f t="shared" si="774"/>
        <v>1</v>
      </c>
      <c r="T189" s="24">
        <f>ROUND(INDEX($C$2:$C$5,MATCH($E189,$B$2:$B$5,0))*$J189/SUMIFS($J:$J,$E:$E,$E189,$B:$B,$B189,S:S,1)*IF(B189=$B$10,0.9,1),0)</f>
        <v>300</v>
      </c>
      <c r="U189" s="24">
        <f t="shared" si="774"/>
        <v>1</v>
      </c>
      <c r="V189" s="24">
        <f>ROUND(INDEX($C$2:$C$5,MATCH($E189,$B$2:$B$5,0))*$K189/SUMIFS($K:$K,$E:$E,$E189,$B:$B,$B189,U:U,1)*IF(B189=$B$10,0.9,1),0)</f>
        <v>300</v>
      </c>
      <c r="W189" s="24">
        <f t="shared" ref="W189:AA189" si="775">IF($L189&lt;=W$8,1,0)</f>
        <v>1</v>
      </c>
      <c r="X189" s="24">
        <f>ROUND(INDEX($C$2:$C$5,MATCH($E189,$B$2:$B$5,0))*$F189/SUMIFS($F:$F,$E:$E,$E189,$B:$B,$B189,W:W,1)*IF(B189=$B$10,0.9,1),0)</f>
        <v>250</v>
      </c>
      <c r="Y189" s="24">
        <f t="shared" si="775"/>
        <v>1</v>
      </c>
      <c r="Z189" s="24">
        <f>ROUND(INDEX($C$2:$C$5,MATCH($E189,$B$2:$B$5,0))*$G189/SUMIFS($G:$G,$E:$E,$E189,$B:$B,$B189,Y:Y,1)*IF(B189=$B$10,0.9,1),0)</f>
        <v>250</v>
      </c>
      <c r="AA189" s="24">
        <f t="shared" si="775"/>
        <v>1</v>
      </c>
      <c r="AB189" s="24">
        <f>ROUND(INDEX($C$2:$C$5,MATCH($E189,$B$2:$B$5,0))*$H189/SUMIFS($H:$H,$E:$E,$E189,$B:$B,$B189,AA:AA,1)*IF(B189=$B$10,0.9,1),0)</f>
        <v>250</v>
      </c>
      <c r="AC189" s="24">
        <f t="shared" ref="AC189:AG189" si="776">IF($L189&lt;=AC$8,1,0)</f>
        <v>1</v>
      </c>
      <c r="AD189" s="24">
        <f>ROUND(INDEX($C$2:$C$5,MATCH($E189,$B$2:$B$5,0))*$F189/SUMIFS($F:$F,$E:$E,$E189,$B:$B,$B189,AC:AC,1)*IF(B189=$B$10,0.9,1),0)</f>
        <v>250</v>
      </c>
      <c r="AE189" s="24">
        <f t="shared" si="776"/>
        <v>1</v>
      </c>
      <c r="AF189" s="24">
        <f>ROUND(INDEX($C$2:$C$5,MATCH($E189,$B$2:$B$5,0))*$G189/SUMIFS($G:$G,$E:$E,$E189,$B:$B,$B189,AE:AE,1)*IF(B189=$B$10,0.9,1),0)</f>
        <v>250</v>
      </c>
      <c r="AG189" s="24">
        <f t="shared" si="776"/>
        <v>1</v>
      </c>
      <c r="AH189" s="24">
        <f>ROUND(INDEX($C$2:$C$5,MATCH($E189,$B$2:$B$5,0))*$H189/SUMIFS($H:$H,$E:$E,$E189,$B:$B,$B189,AG:AG,1)*IF(B189=$B$10,0.9,1),0)</f>
        <v>250</v>
      </c>
      <c r="AI189" s="24">
        <f t="shared" ref="AI189:AM189" si="777">IF($L189&lt;=AI$8,1,0)</f>
        <v>1</v>
      </c>
      <c r="AJ189" s="24">
        <f>ROUND(INDEX($C$2:$C$5,MATCH($E189,$B$2:$B$5,0))*$F189/SUMIFS($F:$F,$E:$E,$E189,$B:$B,$B189,AI:AI,1)*IF(B189=$B$10,0.9,1),0)</f>
        <v>250</v>
      </c>
      <c r="AK189" s="24">
        <f t="shared" si="777"/>
        <v>1</v>
      </c>
      <c r="AL189" s="24">
        <f>ROUND(INDEX($C$2:$C$5,MATCH($E189,$B$2:$B$5,0))*$G189/SUMIFS($G:$G,$E:$E,$E189,$B:$B,$B189,AK:AK,1)*IF(B189=$B$10,0.9,1),0)</f>
        <v>250</v>
      </c>
      <c r="AM189" s="24">
        <f t="shared" si="777"/>
        <v>1</v>
      </c>
      <c r="AN189" s="24">
        <f>ROUND(INDEX($C$2:$C$5,MATCH($E189,$B$2:$B$5,0))*$H189/SUMIFS($H:$H,$E:$E,$E189,$B:$B,$B189,AM:AM,1)*IF(B189=$B$10,0.9,1),0)</f>
        <v>250</v>
      </c>
      <c r="AX189" s="4" t="str">
        <f t="shared" si="559"/>
        <v>1,250</v>
      </c>
      <c r="AY189" s="4" t="str">
        <f t="shared" si="560"/>
        <v>1,300</v>
      </c>
      <c r="AZ189" s="4" t="str">
        <f t="shared" si="561"/>
        <v>1,300</v>
      </c>
      <c r="BA189" s="4" t="str">
        <f t="shared" si="562"/>
        <v>1,300</v>
      </c>
      <c r="BB189" s="4" t="str">
        <f t="shared" si="563"/>
        <v>1,250</v>
      </c>
      <c r="BC189" s="4" t="str">
        <f t="shared" si="564"/>
        <v>1,250</v>
      </c>
      <c r="BD189" s="4" t="str">
        <f t="shared" si="565"/>
        <v>1,250</v>
      </c>
      <c r="BE189" s="4" t="str">
        <f t="shared" si="566"/>
        <v>1,250</v>
      </c>
      <c r="BF189" s="4" t="str">
        <f t="shared" si="567"/>
        <v>1,250</v>
      </c>
      <c r="BG189" s="4" t="str">
        <f t="shared" si="568"/>
        <v>1,250</v>
      </c>
      <c r="BH189" s="4" t="str">
        <f t="shared" si="569"/>
        <v>1,250</v>
      </c>
      <c r="BI189" s="4" t="str">
        <f t="shared" si="570"/>
        <v>1,250</v>
      </c>
      <c r="BJ189" s="4" t="str">
        <f t="shared" si="571"/>
        <v>1,250</v>
      </c>
    </row>
    <row r="190" customHeight="1" spans="1:62">
      <c r="A190" s="35">
        <v>1124</v>
      </c>
      <c r="B190" s="40" t="s">
        <v>93</v>
      </c>
      <c r="C190" s="40" t="s">
        <v>218</v>
      </c>
      <c r="D190" s="46" t="s">
        <v>369</v>
      </c>
      <c r="E190" s="45">
        <v>3</v>
      </c>
      <c r="F190" s="35">
        <v>1</v>
      </c>
      <c r="G190" s="35">
        <f t="shared" si="572"/>
        <v>1</v>
      </c>
      <c r="H190" s="35">
        <v>1</v>
      </c>
      <c r="I190" s="35">
        <v>1</v>
      </c>
      <c r="J190" s="35">
        <v>1</v>
      </c>
      <c r="K190" s="35">
        <v>1</v>
      </c>
      <c r="L190" s="35">
        <v>1</v>
      </c>
      <c r="M190" s="35" t="s">
        <v>136</v>
      </c>
      <c r="N190">
        <f t="shared" si="573"/>
        <v>1500</v>
      </c>
      <c r="O190" s="35">
        <v>1</v>
      </c>
      <c r="P190" s="24">
        <f>ROUND(INDEX($C$2:$C$5,MATCH($E190,$B$2:$B$5,0))*$F190/SUMIFS($F:$F,$E:$E,$E190,$B:$B,$B190,O:O,1)*IF(B190=$B$10,0.9,1),0)</f>
        <v>250</v>
      </c>
      <c r="Q190" s="24">
        <f t="shared" ref="Q190:U190" si="778">IF($L190&lt;=Q$8,1,0)</f>
        <v>1</v>
      </c>
      <c r="R190" s="24">
        <f>ROUND(INDEX($C$2:$C$5,MATCH($E190,$B$2:$B$5,0))*$I190/SUMIFS($I:$I,$E:$E,$E190,$B:$B,$B190,Q:Q,1)*IF(B190=$B$10,0.9,1),0)</f>
        <v>300</v>
      </c>
      <c r="S190" s="24">
        <f t="shared" si="778"/>
        <v>1</v>
      </c>
      <c r="T190" s="24">
        <f>ROUND(INDEX($C$2:$C$5,MATCH($E190,$B$2:$B$5,0))*$J190/SUMIFS($J:$J,$E:$E,$E190,$B:$B,$B190,S:S,1)*IF(B190=$B$10,0.9,1),0)</f>
        <v>300</v>
      </c>
      <c r="U190" s="24">
        <f t="shared" si="778"/>
        <v>1</v>
      </c>
      <c r="V190" s="24">
        <f>ROUND(INDEX($C$2:$C$5,MATCH($E190,$B$2:$B$5,0))*$K190/SUMIFS($K:$K,$E:$E,$E190,$B:$B,$B190,U:U,1)*IF(B190=$B$10,0.9,1),0)</f>
        <v>300</v>
      </c>
      <c r="W190" s="24">
        <f t="shared" ref="W190:AA190" si="779">IF($L190&lt;=W$8,1,0)</f>
        <v>1</v>
      </c>
      <c r="X190" s="24">
        <f>ROUND(INDEX($C$2:$C$5,MATCH($E190,$B$2:$B$5,0))*$F190/SUMIFS($F:$F,$E:$E,$E190,$B:$B,$B190,W:W,1)*IF(B190=$B$10,0.9,1),0)</f>
        <v>250</v>
      </c>
      <c r="Y190" s="24">
        <f t="shared" si="779"/>
        <v>1</v>
      </c>
      <c r="Z190" s="24">
        <f>ROUND(INDEX($C$2:$C$5,MATCH($E190,$B$2:$B$5,0))*$G190/SUMIFS($G:$G,$E:$E,$E190,$B:$B,$B190,Y:Y,1)*IF(B190=$B$10,0.9,1),0)</f>
        <v>250</v>
      </c>
      <c r="AA190" s="24">
        <f t="shared" si="779"/>
        <v>1</v>
      </c>
      <c r="AB190" s="24">
        <f>ROUND(INDEX($C$2:$C$5,MATCH($E190,$B$2:$B$5,0))*$H190/SUMIFS($H:$H,$E:$E,$E190,$B:$B,$B190,AA:AA,1)*IF(B190=$B$10,0.9,1),0)</f>
        <v>250</v>
      </c>
      <c r="AC190" s="24">
        <f t="shared" ref="AC190:AG190" si="780">IF($L190&lt;=AC$8,1,0)</f>
        <v>1</v>
      </c>
      <c r="AD190" s="24">
        <f>ROUND(INDEX($C$2:$C$5,MATCH($E190,$B$2:$B$5,0))*$F190/SUMIFS($F:$F,$E:$E,$E190,$B:$B,$B190,AC:AC,1)*IF(B190=$B$10,0.9,1),0)</f>
        <v>250</v>
      </c>
      <c r="AE190" s="24">
        <f t="shared" si="780"/>
        <v>1</v>
      </c>
      <c r="AF190" s="24">
        <f>ROUND(INDEX($C$2:$C$5,MATCH($E190,$B$2:$B$5,0))*$G190/SUMIFS($G:$G,$E:$E,$E190,$B:$B,$B190,AE:AE,1)*IF(B190=$B$10,0.9,1),0)</f>
        <v>250</v>
      </c>
      <c r="AG190" s="24">
        <f t="shared" si="780"/>
        <v>1</v>
      </c>
      <c r="AH190" s="24">
        <f>ROUND(INDEX($C$2:$C$5,MATCH($E190,$B$2:$B$5,0))*$H190/SUMIFS($H:$H,$E:$E,$E190,$B:$B,$B190,AG:AG,1)*IF(B190=$B$10,0.9,1),0)</f>
        <v>250</v>
      </c>
      <c r="AI190" s="24">
        <f t="shared" ref="AI190:AM190" si="781">IF($L190&lt;=AI$8,1,0)</f>
        <v>1</v>
      </c>
      <c r="AJ190" s="24">
        <f>ROUND(INDEX($C$2:$C$5,MATCH($E190,$B$2:$B$5,0))*$F190/SUMIFS($F:$F,$E:$E,$E190,$B:$B,$B190,AI:AI,1)*IF(B190=$B$10,0.9,1),0)</f>
        <v>250</v>
      </c>
      <c r="AK190" s="24">
        <f t="shared" si="781"/>
        <v>1</v>
      </c>
      <c r="AL190" s="24">
        <f>ROUND(INDEX($C$2:$C$5,MATCH($E190,$B$2:$B$5,0))*$G190/SUMIFS($G:$G,$E:$E,$E190,$B:$B,$B190,AK:AK,1)*IF(B190=$B$10,0.9,1),0)</f>
        <v>250</v>
      </c>
      <c r="AM190" s="24">
        <f t="shared" si="781"/>
        <v>1</v>
      </c>
      <c r="AN190" s="24">
        <f>ROUND(INDEX($C$2:$C$5,MATCH($E190,$B$2:$B$5,0))*$H190/SUMIFS($H:$H,$E:$E,$E190,$B:$B,$B190,AM:AM,1)*IF(B190=$B$10,0.9,1),0)</f>
        <v>250</v>
      </c>
      <c r="AX190" s="4" t="str">
        <f t="shared" si="559"/>
        <v>1,250</v>
      </c>
      <c r="AY190" s="4" t="str">
        <f t="shared" si="560"/>
        <v>1,300</v>
      </c>
      <c r="AZ190" s="4" t="str">
        <f t="shared" si="561"/>
        <v>1,300</v>
      </c>
      <c r="BA190" s="4" t="str">
        <f t="shared" si="562"/>
        <v>1,300</v>
      </c>
      <c r="BB190" s="4" t="str">
        <f t="shared" si="563"/>
        <v>1,250</v>
      </c>
      <c r="BC190" s="4" t="str">
        <f t="shared" si="564"/>
        <v>1,250</v>
      </c>
      <c r="BD190" s="4" t="str">
        <f t="shared" si="565"/>
        <v>1,250</v>
      </c>
      <c r="BE190" s="4" t="str">
        <f t="shared" si="566"/>
        <v>1,250</v>
      </c>
      <c r="BF190" s="4" t="str">
        <f t="shared" si="567"/>
        <v>1,250</v>
      </c>
      <c r="BG190" s="4" t="str">
        <f t="shared" si="568"/>
        <v>1,250</v>
      </c>
      <c r="BH190" s="4" t="str">
        <f t="shared" si="569"/>
        <v>1,250</v>
      </c>
      <c r="BI190" s="4" t="str">
        <f t="shared" si="570"/>
        <v>1,250</v>
      </c>
      <c r="BJ190" s="4" t="str">
        <f t="shared" si="571"/>
        <v>1,250</v>
      </c>
    </row>
    <row r="191" customHeight="1" spans="1:62">
      <c r="A191" s="35">
        <v>1131</v>
      </c>
      <c r="B191" s="40" t="s">
        <v>93</v>
      </c>
      <c r="C191" s="40" t="s">
        <v>218</v>
      </c>
      <c r="D191" s="44" t="s">
        <v>95</v>
      </c>
      <c r="E191" s="45">
        <v>2</v>
      </c>
      <c r="F191" s="35">
        <v>1</v>
      </c>
      <c r="G191" s="35">
        <f t="shared" si="572"/>
        <v>1</v>
      </c>
      <c r="H191" s="35">
        <v>1</v>
      </c>
      <c r="I191" s="35">
        <v>1</v>
      </c>
      <c r="J191" s="35">
        <v>1</v>
      </c>
      <c r="K191" s="35">
        <v>1</v>
      </c>
      <c r="L191" s="35">
        <v>2</v>
      </c>
      <c r="M191" s="35"/>
      <c r="N191">
        <f t="shared" si="573"/>
        <v>4500</v>
      </c>
      <c r="O191" s="35">
        <v>1</v>
      </c>
      <c r="P191" s="24">
        <f>ROUND(INDEX($C$2:$C$5,MATCH($E191,$B$2:$B$5,0))*$F191/SUMIFS($F:$F,$E:$E,$E191,$B:$B,$B191,O:O,1)*IF(B191=$B$10,0.9,1),0)</f>
        <v>750</v>
      </c>
      <c r="Q191" s="24">
        <f t="shared" ref="Q191:U191" si="782">IF($L191&lt;=Q$8,1,0)</f>
        <v>0</v>
      </c>
      <c r="R191" s="24">
        <f>ROUND(INDEX($C$2:$C$5,MATCH($E191,$B$2:$B$5,0))*$I191/SUMIFS($I:$I,$E:$E,$E191,$B:$B,$B191,Q:Q,1)*IF(B191=$B$10,0.9,1),0)</f>
        <v>900</v>
      </c>
      <c r="S191" s="24">
        <f t="shared" si="782"/>
        <v>0</v>
      </c>
      <c r="T191" s="24">
        <f>ROUND(INDEX($C$2:$C$5,MATCH($E191,$B$2:$B$5,0))*$J191/SUMIFS($J:$J,$E:$E,$E191,$B:$B,$B191,S:S,1)*IF(B191=$B$10,0.9,1),0)</f>
        <v>900</v>
      </c>
      <c r="U191" s="24">
        <f t="shared" si="782"/>
        <v>0</v>
      </c>
      <c r="V191" s="24">
        <f>ROUND(INDEX($C$2:$C$5,MATCH($E191,$B$2:$B$5,0))*$K191/SUMIFS($K:$K,$E:$E,$E191,$B:$B,$B191,U:U,1)*IF(B191=$B$10,0.9,1),0)</f>
        <v>900</v>
      </c>
      <c r="W191" s="24">
        <f t="shared" ref="W191:AA191" si="783">IF($L191&lt;=W$8,1,0)</f>
        <v>1</v>
      </c>
      <c r="X191" s="24">
        <f>ROUND(INDEX($C$2:$C$5,MATCH($E191,$B$2:$B$5,0))*$F191/SUMIFS($F:$F,$E:$E,$E191,$B:$B,$B191,W:W,1)*IF(B191=$B$10,0.9,1),0)</f>
        <v>750</v>
      </c>
      <c r="Y191" s="24">
        <f t="shared" si="783"/>
        <v>1</v>
      </c>
      <c r="Z191" s="24">
        <f>ROUND(INDEX($C$2:$C$5,MATCH($E191,$B$2:$B$5,0))*$G191/SUMIFS($G:$G,$E:$E,$E191,$B:$B,$B191,Y:Y,1)*IF(B191=$B$10,0.9,1),0)</f>
        <v>750</v>
      </c>
      <c r="AA191" s="24">
        <f t="shared" si="783"/>
        <v>1</v>
      </c>
      <c r="AB191" s="24">
        <f>ROUND(INDEX($C$2:$C$5,MATCH($E191,$B$2:$B$5,0))*$H191/SUMIFS($H:$H,$E:$E,$E191,$B:$B,$B191,AA:AA,1)*IF(B191=$B$10,0.9,1),0)</f>
        <v>750</v>
      </c>
      <c r="AC191" s="24">
        <f t="shared" ref="AC191:AG191" si="784">IF($L191&lt;=AC$8,1,0)</f>
        <v>1</v>
      </c>
      <c r="AD191" s="24">
        <f>ROUND(INDEX($C$2:$C$5,MATCH($E191,$B$2:$B$5,0))*$F191/SUMIFS($F:$F,$E:$E,$E191,$B:$B,$B191,AC:AC,1)*IF(B191=$B$10,0.9,1),0)</f>
        <v>750</v>
      </c>
      <c r="AE191" s="24">
        <f t="shared" si="784"/>
        <v>1</v>
      </c>
      <c r="AF191" s="24">
        <f>ROUND(INDEX($C$2:$C$5,MATCH($E191,$B$2:$B$5,0))*$G191/SUMIFS($G:$G,$E:$E,$E191,$B:$B,$B191,AE:AE,1)*IF(B191=$B$10,0.9,1),0)</f>
        <v>750</v>
      </c>
      <c r="AG191" s="24">
        <f t="shared" si="784"/>
        <v>1</v>
      </c>
      <c r="AH191" s="24">
        <f>ROUND(INDEX($C$2:$C$5,MATCH($E191,$B$2:$B$5,0))*$H191/SUMIFS($H:$H,$E:$E,$E191,$B:$B,$B191,AG:AG,1)*IF(B191=$B$10,0.9,1),0)</f>
        <v>750</v>
      </c>
      <c r="AI191" s="24">
        <f t="shared" ref="AI191:AM191" si="785">IF($L191&lt;=AI$8,1,0)</f>
        <v>1</v>
      </c>
      <c r="AJ191" s="24">
        <f>ROUND(INDEX($C$2:$C$5,MATCH($E191,$B$2:$B$5,0))*$F191/SUMIFS($F:$F,$E:$E,$E191,$B:$B,$B191,AI:AI,1)*IF(B191=$B$10,0.9,1),0)</f>
        <v>750</v>
      </c>
      <c r="AK191" s="24">
        <f t="shared" si="785"/>
        <v>1</v>
      </c>
      <c r="AL191" s="24">
        <f>ROUND(INDEX($C$2:$C$5,MATCH($E191,$B$2:$B$5,0))*$G191/SUMIFS($G:$G,$E:$E,$E191,$B:$B,$B191,AK:AK,1)*IF(B191=$B$10,0.9,1),0)</f>
        <v>750</v>
      </c>
      <c r="AM191" s="24">
        <f t="shared" si="785"/>
        <v>1</v>
      </c>
      <c r="AN191" s="24">
        <f>ROUND(INDEX($C$2:$C$5,MATCH($E191,$B$2:$B$5,0))*$H191/SUMIFS($H:$H,$E:$E,$E191,$B:$B,$B191,AM:AM,1)*IF(B191=$B$10,0.9,1),0)</f>
        <v>750</v>
      </c>
      <c r="AX191" s="4" t="str">
        <f t="shared" si="559"/>
        <v>1,750</v>
      </c>
      <c r="AY191" s="4" t="str">
        <f t="shared" si="560"/>
        <v>0,900</v>
      </c>
      <c r="AZ191" s="4" t="str">
        <f t="shared" si="561"/>
        <v>0,900</v>
      </c>
      <c r="BA191" s="4" t="str">
        <f t="shared" si="562"/>
        <v>0,900</v>
      </c>
      <c r="BB191" s="4" t="str">
        <f t="shared" si="563"/>
        <v>1,750</v>
      </c>
      <c r="BC191" s="4" t="str">
        <f t="shared" si="564"/>
        <v>1,750</v>
      </c>
      <c r="BD191" s="4" t="str">
        <f t="shared" si="565"/>
        <v>1,750</v>
      </c>
      <c r="BE191" s="4" t="str">
        <f t="shared" si="566"/>
        <v>1,750</v>
      </c>
      <c r="BF191" s="4" t="str">
        <f t="shared" si="567"/>
        <v>1,750</v>
      </c>
      <c r="BG191" s="4" t="str">
        <f t="shared" si="568"/>
        <v>1,750</v>
      </c>
      <c r="BH191" s="4" t="str">
        <f t="shared" si="569"/>
        <v>1,750</v>
      </c>
      <c r="BI191" s="4" t="str">
        <f t="shared" si="570"/>
        <v>1,750</v>
      </c>
      <c r="BJ191" s="4" t="str">
        <f t="shared" si="571"/>
        <v>1,750</v>
      </c>
    </row>
    <row r="192" customHeight="1" spans="1:62">
      <c r="A192" s="35">
        <v>1132</v>
      </c>
      <c r="B192" s="40" t="s">
        <v>93</v>
      </c>
      <c r="C192" s="40" t="s">
        <v>218</v>
      </c>
      <c r="D192" s="44" t="s">
        <v>376</v>
      </c>
      <c r="E192" s="45">
        <v>2</v>
      </c>
      <c r="F192" s="35">
        <v>1</v>
      </c>
      <c r="G192" s="35">
        <f t="shared" si="572"/>
        <v>1</v>
      </c>
      <c r="H192" s="35">
        <v>1</v>
      </c>
      <c r="I192" s="35">
        <v>1</v>
      </c>
      <c r="J192" s="35">
        <v>1</v>
      </c>
      <c r="K192" s="35">
        <v>1</v>
      </c>
      <c r="L192" s="35">
        <v>1</v>
      </c>
      <c r="M192" s="35"/>
      <c r="N192">
        <f t="shared" si="573"/>
        <v>4500</v>
      </c>
      <c r="O192" s="35">
        <v>1</v>
      </c>
      <c r="P192" s="24">
        <f>ROUND(INDEX($C$2:$C$5,MATCH($E192,$B$2:$B$5,0))*$F192/SUMIFS($F:$F,$E:$E,$E192,$B:$B,$B192,O:O,1)*IF(B192=$B$10,0.9,1),0)</f>
        <v>750</v>
      </c>
      <c r="Q192" s="24">
        <f t="shared" ref="Q192:U192" si="786">IF($L192&lt;=Q$8,1,0)</f>
        <v>1</v>
      </c>
      <c r="R192" s="24">
        <f>ROUND(INDEX($C$2:$C$5,MATCH($E192,$B$2:$B$5,0))*$I192/SUMIFS($I:$I,$E:$E,$E192,$B:$B,$B192,Q:Q,1)*IF(B192=$B$10,0.9,1),0)</f>
        <v>900</v>
      </c>
      <c r="S192" s="24">
        <f t="shared" si="786"/>
        <v>1</v>
      </c>
      <c r="T192" s="24">
        <f>ROUND(INDEX($C$2:$C$5,MATCH($E192,$B$2:$B$5,0))*$J192/SUMIFS($J:$J,$E:$E,$E192,$B:$B,$B192,S:S,1)*IF(B192=$B$10,0.9,1),0)</f>
        <v>900</v>
      </c>
      <c r="U192" s="24">
        <f t="shared" si="786"/>
        <v>1</v>
      </c>
      <c r="V192" s="24">
        <f>ROUND(INDEX($C$2:$C$5,MATCH($E192,$B$2:$B$5,0))*$K192/SUMIFS($K:$K,$E:$E,$E192,$B:$B,$B192,U:U,1)*IF(B192=$B$10,0.9,1),0)</f>
        <v>900</v>
      </c>
      <c r="W192" s="24">
        <f t="shared" ref="W192:AA192" si="787">IF($L192&lt;=W$8,1,0)</f>
        <v>1</v>
      </c>
      <c r="X192" s="24">
        <f>ROUND(INDEX($C$2:$C$5,MATCH($E192,$B$2:$B$5,0))*$F192/SUMIFS($F:$F,$E:$E,$E192,$B:$B,$B192,W:W,1)*IF(B192=$B$10,0.9,1),0)</f>
        <v>750</v>
      </c>
      <c r="Y192" s="24">
        <f t="shared" si="787"/>
        <v>1</v>
      </c>
      <c r="Z192" s="24">
        <f>ROUND(INDEX($C$2:$C$5,MATCH($E192,$B$2:$B$5,0))*$G192/SUMIFS($G:$G,$E:$E,$E192,$B:$B,$B192,Y:Y,1)*IF(B192=$B$10,0.9,1),0)</f>
        <v>750</v>
      </c>
      <c r="AA192" s="24">
        <f t="shared" si="787"/>
        <v>1</v>
      </c>
      <c r="AB192" s="24">
        <f>ROUND(INDEX($C$2:$C$5,MATCH($E192,$B$2:$B$5,0))*$H192/SUMIFS($H:$H,$E:$E,$E192,$B:$B,$B192,AA:AA,1)*IF(B192=$B$10,0.9,1),0)</f>
        <v>750</v>
      </c>
      <c r="AC192" s="24">
        <f t="shared" ref="AC192:AG192" si="788">IF($L192&lt;=AC$8,1,0)</f>
        <v>1</v>
      </c>
      <c r="AD192" s="24">
        <f>ROUND(INDEX($C$2:$C$5,MATCH($E192,$B$2:$B$5,0))*$F192/SUMIFS($F:$F,$E:$E,$E192,$B:$B,$B192,AC:AC,1)*IF(B192=$B$10,0.9,1),0)</f>
        <v>750</v>
      </c>
      <c r="AE192" s="24">
        <f t="shared" si="788"/>
        <v>1</v>
      </c>
      <c r="AF192" s="24">
        <f>ROUND(INDEX($C$2:$C$5,MATCH($E192,$B$2:$B$5,0))*$G192/SUMIFS($G:$G,$E:$E,$E192,$B:$B,$B192,AE:AE,1)*IF(B192=$B$10,0.9,1),0)</f>
        <v>750</v>
      </c>
      <c r="AG192" s="24">
        <f t="shared" si="788"/>
        <v>1</v>
      </c>
      <c r="AH192" s="24">
        <f>ROUND(INDEX($C$2:$C$5,MATCH($E192,$B$2:$B$5,0))*$H192/SUMIFS($H:$H,$E:$E,$E192,$B:$B,$B192,AG:AG,1)*IF(B192=$B$10,0.9,1),0)</f>
        <v>750</v>
      </c>
      <c r="AI192" s="24">
        <f t="shared" ref="AI192:AM192" si="789">IF($L192&lt;=AI$8,1,0)</f>
        <v>1</v>
      </c>
      <c r="AJ192" s="24">
        <f>ROUND(INDEX($C$2:$C$5,MATCH($E192,$B$2:$B$5,0))*$F192/SUMIFS($F:$F,$E:$E,$E192,$B:$B,$B192,AI:AI,1)*IF(B192=$B$10,0.9,1),0)</f>
        <v>750</v>
      </c>
      <c r="AK192" s="24">
        <f t="shared" si="789"/>
        <v>1</v>
      </c>
      <c r="AL192" s="24">
        <f>ROUND(INDEX($C$2:$C$5,MATCH($E192,$B$2:$B$5,0))*$G192/SUMIFS($G:$G,$E:$E,$E192,$B:$B,$B192,AK:AK,1)*IF(B192=$B$10,0.9,1),0)</f>
        <v>750</v>
      </c>
      <c r="AM192" s="24">
        <f t="shared" si="789"/>
        <v>1</v>
      </c>
      <c r="AN192" s="24">
        <f>ROUND(INDEX($C$2:$C$5,MATCH($E192,$B$2:$B$5,0))*$H192/SUMIFS($H:$H,$E:$E,$E192,$B:$B,$B192,AM:AM,1)*IF(B192=$B$10,0.9,1),0)</f>
        <v>750</v>
      </c>
      <c r="AX192" s="4" t="str">
        <f t="shared" si="559"/>
        <v>1,750</v>
      </c>
      <c r="AY192" s="4" t="str">
        <f t="shared" si="560"/>
        <v>1,900</v>
      </c>
      <c r="AZ192" s="4" t="str">
        <f t="shared" si="561"/>
        <v>1,900</v>
      </c>
      <c r="BA192" s="4" t="str">
        <f t="shared" si="562"/>
        <v>1,900</v>
      </c>
      <c r="BB192" s="4" t="str">
        <f t="shared" si="563"/>
        <v>1,750</v>
      </c>
      <c r="BC192" s="4" t="str">
        <f t="shared" si="564"/>
        <v>1,750</v>
      </c>
      <c r="BD192" s="4" t="str">
        <f t="shared" si="565"/>
        <v>1,750</v>
      </c>
      <c r="BE192" s="4" t="str">
        <f t="shared" si="566"/>
        <v>1,750</v>
      </c>
      <c r="BF192" s="4" t="str">
        <f t="shared" si="567"/>
        <v>1,750</v>
      </c>
      <c r="BG192" s="4" t="str">
        <f t="shared" si="568"/>
        <v>1,750</v>
      </c>
      <c r="BH192" s="4" t="str">
        <f t="shared" si="569"/>
        <v>1,750</v>
      </c>
      <c r="BI192" s="4" t="str">
        <f t="shared" si="570"/>
        <v>1,750</v>
      </c>
      <c r="BJ192" s="4" t="str">
        <f t="shared" si="571"/>
        <v>1,750</v>
      </c>
    </row>
    <row r="193" customHeight="1" spans="1:62">
      <c r="A193" s="35">
        <v>1141</v>
      </c>
      <c r="B193" s="40" t="s">
        <v>93</v>
      </c>
      <c r="C193" s="40" t="s">
        <v>218</v>
      </c>
      <c r="D193" s="46" t="s">
        <v>52</v>
      </c>
      <c r="E193" s="50">
        <v>3</v>
      </c>
      <c r="F193" s="35">
        <v>1</v>
      </c>
      <c r="G193" s="35">
        <f t="shared" si="572"/>
        <v>1</v>
      </c>
      <c r="H193" s="35">
        <v>1</v>
      </c>
      <c r="I193" s="35">
        <v>1</v>
      </c>
      <c r="J193" s="35">
        <v>1</v>
      </c>
      <c r="K193" s="35">
        <v>1</v>
      </c>
      <c r="L193" s="35">
        <v>2</v>
      </c>
      <c r="M193" s="35"/>
      <c r="N193">
        <f t="shared" si="573"/>
        <v>1500</v>
      </c>
      <c r="O193" s="35">
        <v>1</v>
      </c>
      <c r="P193" s="24">
        <f>ROUND(INDEX($C$2:$C$5,MATCH($E193,$B$2:$B$5,0))*$F193/SUMIFS($F:$F,$E:$E,$E193,$B:$B,$B193,O:O,1)*IF(B193=$B$10,0.9,1),0)</f>
        <v>250</v>
      </c>
      <c r="Q193" s="24">
        <f t="shared" ref="Q193:U193" si="790">IF($L193&lt;=Q$8,1,0)</f>
        <v>0</v>
      </c>
      <c r="R193" s="24">
        <f>ROUND(INDEX($C$2:$C$5,MATCH($E193,$B$2:$B$5,0))*$I193/SUMIFS($I:$I,$E:$E,$E193,$B:$B,$B193,Q:Q,1)*IF(B193=$B$10,0.9,1),0)</f>
        <v>300</v>
      </c>
      <c r="S193" s="24">
        <f t="shared" si="790"/>
        <v>0</v>
      </c>
      <c r="T193" s="24">
        <f>ROUND(INDEX($C$2:$C$5,MATCH($E193,$B$2:$B$5,0))*$J193/SUMIFS($J:$J,$E:$E,$E193,$B:$B,$B193,S:S,1)*IF(B193=$B$10,0.9,1),0)</f>
        <v>300</v>
      </c>
      <c r="U193" s="24">
        <f t="shared" si="790"/>
        <v>0</v>
      </c>
      <c r="V193" s="24">
        <f>ROUND(INDEX($C$2:$C$5,MATCH($E193,$B$2:$B$5,0))*$K193/SUMIFS($K:$K,$E:$E,$E193,$B:$B,$B193,U:U,1)*IF(B193=$B$10,0.9,1),0)</f>
        <v>300</v>
      </c>
      <c r="W193" s="24">
        <f t="shared" ref="W193:AA193" si="791">IF($L193&lt;=W$8,1,0)</f>
        <v>1</v>
      </c>
      <c r="X193" s="24">
        <f>ROUND(INDEX($C$2:$C$5,MATCH($E193,$B$2:$B$5,0))*$F193/SUMIFS($F:$F,$E:$E,$E193,$B:$B,$B193,W:W,1)*IF(B193=$B$10,0.9,1),0)</f>
        <v>250</v>
      </c>
      <c r="Y193" s="24">
        <f t="shared" si="791"/>
        <v>1</v>
      </c>
      <c r="Z193" s="24">
        <f>ROUND(INDEX($C$2:$C$5,MATCH($E193,$B$2:$B$5,0))*$G193/SUMIFS($G:$G,$E:$E,$E193,$B:$B,$B193,Y:Y,1)*IF(B193=$B$10,0.9,1),0)</f>
        <v>250</v>
      </c>
      <c r="AA193" s="24">
        <f t="shared" si="791"/>
        <v>1</v>
      </c>
      <c r="AB193" s="24">
        <f>ROUND(INDEX($C$2:$C$5,MATCH($E193,$B$2:$B$5,0))*$H193/SUMIFS($H:$H,$E:$E,$E193,$B:$B,$B193,AA:AA,1)*IF(B193=$B$10,0.9,1),0)</f>
        <v>250</v>
      </c>
      <c r="AC193" s="24">
        <f t="shared" ref="AC193:AG193" si="792">IF($L193&lt;=AC$8,1,0)</f>
        <v>1</v>
      </c>
      <c r="AD193" s="24">
        <f>ROUND(INDEX($C$2:$C$5,MATCH($E193,$B$2:$B$5,0))*$F193/SUMIFS($F:$F,$E:$E,$E193,$B:$B,$B193,AC:AC,1)*IF(B193=$B$10,0.9,1),0)</f>
        <v>250</v>
      </c>
      <c r="AE193" s="24">
        <f t="shared" si="792"/>
        <v>1</v>
      </c>
      <c r="AF193" s="24">
        <f>ROUND(INDEX($C$2:$C$5,MATCH($E193,$B$2:$B$5,0))*$G193/SUMIFS($G:$G,$E:$E,$E193,$B:$B,$B193,AE:AE,1)*IF(B193=$B$10,0.9,1),0)</f>
        <v>250</v>
      </c>
      <c r="AG193" s="24">
        <f t="shared" si="792"/>
        <v>1</v>
      </c>
      <c r="AH193" s="24">
        <f>ROUND(INDEX($C$2:$C$5,MATCH($E193,$B$2:$B$5,0))*$H193/SUMIFS($H:$H,$E:$E,$E193,$B:$B,$B193,AG:AG,1)*IF(B193=$B$10,0.9,1),0)</f>
        <v>250</v>
      </c>
      <c r="AI193" s="24">
        <f t="shared" ref="AI193:AM193" si="793">IF($L193&lt;=AI$8,1,0)</f>
        <v>1</v>
      </c>
      <c r="AJ193" s="24">
        <f>ROUND(INDEX($C$2:$C$5,MATCH($E193,$B$2:$B$5,0))*$F193/SUMIFS($F:$F,$E:$E,$E193,$B:$B,$B193,AI:AI,1)*IF(B193=$B$10,0.9,1),0)</f>
        <v>250</v>
      </c>
      <c r="AK193" s="24">
        <f t="shared" si="793"/>
        <v>1</v>
      </c>
      <c r="AL193" s="24">
        <f>ROUND(INDEX($C$2:$C$5,MATCH($E193,$B$2:$B$5,0))*$G193/SUMIFS($G:$G,$E:$E,$E193,$B:$B,$B193,AK:AK,1)*IF(B193=$B$10,0.9,1),0)</f>
        <v>250</v>
      </c>
      <c r="AM193" s="24">
        <f t="shared" si="793"/>
        <v>1</v>
      </c>
      <c r="AN193" s="24">
        <f>ROUND(INDEX($C$2:$C$5,MATCH($E193,$B$2:$B$5,0))*$H193/SUMIFS($H:$H,$E:$E,$E193,$B:$B,$B193,AM:AM,1)*IF(B193=$B$10,0.9,1),0)</f>
        <v>250</v>
      </c>
      <c r="AX193" s="4" t="str">
        <f t="shared" si="559"/>
        <v>1,250</v>
      </c>
      <c r="AY193" s="4" t="str">
        <f t="shared" si="560"/>
        <v>0,300</v>
      </c>
      <c r="AZ193" s="4" t="str">
        <f t="shared" si="561"/>
        <v>0,300</v>
      </c>
      <c r="BA193" s="4" t="str">
        <f t="shared" si="562"/>
        <v>0,300</v>
      </c>
      <c r="BB193" s="4" t="str">
        <f t="shared" si="563"/>
        <v>1,250</v>
      </c>
      <c r="BC193" s="4" t="str">
        <f t="shared" si="564"/>
        <v>1,250</v>
      </c>
      <c r="BD193" s="4" t="str">
        <f t="shared" si="565"/>
        <v>1,250</v>
      </c>
      <c r="BE193" s="4" t="str">
        <f t="shared" si="566"/>
        <v>1,250</v>
      </c>
      <c r="BF193" s="4" t="str">
        <f t="shared" si="567"/>
        <v>1,250</v>
      </c>
      <c r="BG193" s="4" t="str">
        <f t="shared" si="568"/>
        <v>1,250</v>
      </c>
      <c r="BH193" s="4" t="str">
        <f t="shared" si="569"/>
        <v>1,250</v>
      </c>
      <c r="BI193" s="4" t="str">
        <f t="shared" si="570"/>
        <v>1,250</v>
      </c>
      <c r="BJ193" s="4" t="str">
        <f t="shared" si="571"/>
        <v>1,250</v>
      </c>
    </row>
    <row r="194" customHeight="1" spans="1:62">
      <c r="A194" s="35">
        <v>1142</v>
      </c>
      <c r="B194" s="40" t="s">
        <v>93</v>
      </c>
      <c r="C194" s="40" t="s">
        <v>218</v>
      </c>
      <c r="D194" s="46" t="s">
        <v>409</v>
      </c>
      <c r="E194" s="50">
        <v>3</v>
      </c>
      <c r="F194" s="35">
        <v>1</v>
      </c>
      <c r="G194" s="35">
        <f t="shared" si="572"/>
        <v>1</v>
      </c>
      <c r="H194" s="35">
        <v>1</v>
      </c>
      <c r="I194" s="35">
        <v>1</v>
      </c>
      <c r="J194" s="35">
        <v>1</v>
      </c>
      <c r="K194" s="35">
        <v>1</v>
      </c>
      <c r="L194" s="35">
        <v>1</v>
      </c>
      <c r="M194" s="35"/>
      <c r="N194">
        <f t="shared" si="573"/>
        <v>1500</v>
      </c>
      <c r="O194" s="35">
        <v>1</v>
      </c>
      <c r="P194" s="24">
        <f>ROUND(INDEX($C$2:$C$5,MATCH($E194,$B$2:$B$5,0))*$F194/SUMIFS($F:$F,$E:$E,$E194,$B:$B,$B194,O:O,1)*IF(B194=$B$10,0.9,1),0)</f>
        <v>250</v>
      </c>
      <c r="Q194" s="24">
        <f t="shared" ref="Q194:U194" si="794">IF($L194&lt;=Q$8,1,0)</f>
        <v>1</v>
      </c>
      <c r="R194" s="24">
        <f>ROUND(INDEX($C$2:$C$5,MATCH($E194,$B$2:$B$5,0))*$I194/SUMIFS($I:$I,$E:$E,$E194,$B:$B,$B194,Q:Q,1)*IF(B194=$B$10,0.9,1),0)</f>
        <v>300</v>
      </c>
      <c r="S194" s="24">
        <f t="shared" si="794"/>
        <v>1</v>
      </c>
      <c r="T194" s="24">
        <f>ROUND(INDEX($C$2:$C$5,MATCH($E194,$B$2:$B$5,0))*$J194/SUMIFS($J:$J,$E:$E,$E194,$B:$B,$B194,S:S,1)*IF(B194=$B$10,0.9,1),0)</f>
        <v>300</v>
      </c>
      <c r="U194" s="24">
        <f t="shared" si="794"/>
        <v>1</v>
      </c>
      <c r="V194" s="24">
        <f>ROUND(INDEX($C$2:$C$5,MATCH($E194,$B$2:$B$5,0))*$K194/SUMIFS($K:$K,$E:$E,$E194,$B:$B,$B194,U:U,1)*IF(B194=$B$10,0.9,1),0)</f>
        <v>300</v>
      </c>
      <c r="W194" s="24">
        <f t="shared" ref="W194:AA194" si="795">IF($L194&lt;=W$8,1,0)</f>
        <v>1</v>
      </c>
      <c r="X194" s="24">
        <f>ROUND(INDEX($C$2:$C$5,MATCH($E194,$B$2:$B$5,0))*$F194/SUMIFS($F:$F,$E:$E,$E194,$B:$B,$B194,W:W,1)*IF(B194=$B$10,0.9,1),0)</f>
        <v>250</v>
      </c>
      <c r="Y194" s="24">
        <f t="shared" si="795"/>
        <v>1</v>
      </c>
      <c r="Z194" s="24">
        <f>ROUND(INDEX($C$2:$C$5,MATCH($E194,$B$2:$B$5,0))*$G194/SUMIFS($G:$G,$E:$E,$E194,$B:$B,$B194,Y:Y,1)*IF(B194=$B$10,0.9,1),0)</f>
        <v>250</v>
      </c>
      <c r="AA194" s="24">
        <f t="shared" si="795"/>
        <v>1</v>
      </c>
      <c r="AB194" s="24">
        <f>ROUND(INDEX($C$2:$C$5,MATCH($E194,$B$2:$B$5,0))*$H194/SUMIFS($H:$H,$E:$E,$E194,$B:$B,$B194,AA:AA,1)*IF(B194=$B$10,0.9,1),0)</f>
        <v>250</v>
      </c>
      <c r="AC194" s="24">
        <f t="shared" ref="AC194:AG194" si="796">IF($L194&lt;=AC$8,1,0)</f>
        <v>1</v>
      </c>
      <c r="AD194" s="24">
        <f>ROUND(INDEX($C$2:$C$5,MATCH($E194,$B$2:$B$5,0))*$F194/SUMIFS($F:$F,$E:$E,$E194,$B:$B,$B194,AC:AC,1)*IF(B194=$B$10,0.9,1),0)</f>
        <v>250</v>
      </c>
      <c r="AE194" s="24">
        <f t="shared" si="796"/>
        <v>1</v>
      </c>
      <c r="AF194" s="24">
        <f>ROUND(INDEX($C$2:$C$5,MATCH($E194,$B$2:$B$5,0))*$G194/SUMIFS($G:$G,$E:$E,$E194,$B:$B,$B194,AE:AE,1)*IF(B194=$B$10,0.9,1),0)</f>
        <v>250</v>
      </c>
      <c r="AG194" s="24">
        <f t="shared" si="796"/>
        <v>1</v>
      </c>
      <c r="AH194" s="24">
        <f>ROUND(INDEX($C$2:$C$5,MATCH($E194,$B$2:$B$5,0))*$H194/SUMIFS($H:$H,$E:$E,$E194,$B:$B,$B194,AG:AG,1)*IF(B194=$B$10,0.9,1),0)</f>
        <v>250</v>
      </c>
      <c r="AI194" s="24">
        <f t="shared" ref="AI194:AM194" si="797">IF($L194&lt;=AI$8,1,0)</f>
        <v>1</v>
      </c>
      <c r="AJ194" s="24">
        <f>ROUND(INDEX($C$2:$C$5,MATCH($E194,$B$2:$B$5,0))*$F194/SUMIFS($F:$F,$E:$E,$E194,$B:$B,$B194,AI:AI,1)*IF(B194=$B$10,0.9,1),0)</f>
        <v>250</v>
      </c>
      <c r="AK194" s="24">
        <f t="shared" si="797"/>
        <v>1</v>
      </c>
      <c r="AL194" s="24">
        <f>ROUND(INDEX($C$2:$C$5,MATCH($E194,$B$2:$B$5,0))*$G194/SUMIFS($G:$G,$E:$E,$E194,$B:$B,$B194,AK:AK,1)*IF(B194=$B$10,0.9,1),0)</f>
        <v>250</v>
      </c>
      <c r="AM194" s="24">
        <f t="shared" si="797"/>
        <v>1</v>
      </c>
      <c r="AN194" s="24">
        <f>ROUND(INDEX($C$2:$C$5,MATCH($E194,$B$2:$B$5,0))*$H194/SUMIFS($H:$H,$E:$E,$E194,$B:$B,$B194,AM:AM,1)*IF(B194=$B$10,0.9,1),0)</f>
        <v>250</v>
      </c>
      <c r="AX194" s="4" t="str">
        <f t="shared" si="559"/>
        <v>1,250</v>
      </c>
      <c r="AY194" s="4" t="str">
        <f t="shared" si="560"/>
        <v>1,300</v>
      </c>
      <c r="AZ194" s="4" t="str">
        <f t="shared" si="561"/>
        <v>1,300</v>
      </c>
      <c r="BA194" s="4" t="str">
        <f t="shared" si="562"/>
        <v>1,300</v>
      </c>
      <c r="BB194" s="4" t="str">
        <f t="shared" si="563"/>
        <v>1,250</v>
      </c>
      <c r="BC194" s="4" t="str">
        <f t="shared" si="564"/>
        <v>1,250</v>
      </c>
      <c r="BD194" s="4" t="str">
        <f t="shared" si="565"/>
        <v>1,250</v>
      </c>
      <c r="BE194" s="4" t="str">
        <f t="shared" si="566"/>
        <v>1,250</v>
      </c>
      <c r="BF194" s="4" t="str">
        <f t="shared" si="567"/>
        <v>1,250</v>
      </c>
      <c r="BG194" s="4" t="str">
        <f t="shared" si="568"/>
        <v>1,250</v>
      </c>
      <c r="BH194" s="4" t="str">
        <f t="shared" si="569"/>
        <v>1,250</v>
      </c>
      <c r="BI194" s="4" t="str">
        <f t="shared" si="570"/>
        <v>1,250</v>
      </c>
      <c r="BJ194" s="4" t="str">
        <f t="shared" si="571"/>
        <v>1,250</v>
      </c>
    </row>
    <row r="195" customHeight="1" spans="1:62">
      <c r="A195" s="35">
        <v>1151</v>
      </c>
      <c r="B195" s="61" t="s">
        <v>93</v>
      </c>
      <c r="C195" s="40"/>
      <c r="D195" s="47" t="s">
        <v>97</v>
      </c>
      <c r="E195" s="35">
        <v>4</v>
      </c>
      <c r="F195" s="35">
        <v>1</v>
      </c>
      <c r="G195" s="35">
        <f t="shared" si="572"/>
        <v>1</v>
      </c>
      <c r="H195" s="35">
        <v>1</v>
      </c>
      <c r="I195" s="35">
        <v>1</v>
      </c>
      <c r="J195" s="35">
        <v>1</v>
      </c>
      <c r="K195" s="35">
        <v>1</v>
      </c>
      <c r="L195" s="35">
        <v>1</v>
      </c>
      <c r="M195" s="35"/>
      <c r="N195">
        <f t="shared" si="573"/>
        <v>500</v>
      </c>
      <c r="O195" s="35">
        <v>1</v>
      </c>
      <c r="P195" s="24">
        <f>ROUND(INDEX($C$2:$C$5,MATCH($E195,$B$2:$B$5,0))*$F195/SUMIFS($F:$F,$E:$E,$E195,$B:$B,$B195,O:O,1)*IF(B195=$B$10,0.9,1),0)</f>
        <v>250</v>
      </c>
      <c r="Q195" s="24">
        <f t="shared" ref="Q195:U195" si="798">IF($L195&lt;=Q$8,1,0)</f>
        <v>1</v>
      </c>
      <c r="R195" s="24">
        <f>ROUND(INDEX($C$2:$C$5,MATCH($E195,$B$2:$B$5,0))*$I195/SUMIFS($I:$I,$E:$E,$E195,$B:$B,$B195,Q:Q,1)*IF(B195=$B$10,0.9,1),0)</f>
        <v>500</v>
      </c>
      <c r="S195" s="24">
        <f t="shared" si="798"/>
        <v>1</v>
      </c>
      <c r="T195" s="24">
        <f>ROUND(INDEX($C$2:$C$5,MATCH($E195,$B$2:$B$5,0))*$J195/SUMIFS($J:$J,$E:$E,$E195,$B:$B,$B195,S:S,1)*IF(B195=$B$10,0.9,1),0)</f>
        <v>500</v>
      </c>
      <c r="U195" s="24">
        <f t="shared" si="798"/>
        <v>1</v>
      </c>
      <c r="V195" s="24">
        <f>ROUND(INDEX($C$2:$C$5,MATCH($E195,$B$2:$B$5,0))*$K195/SUMIFS($K:$K,$E:$E,$E195,$B:$B,$B195,U:U,1)*IF(B195=$B$10,0.9,1),0)</f>
        <v>500</v>
      </c>
      <c r="W195" s="24">
        <f t="shared" ref="W195:AA195" si="799">IF($L195&lt;=W$8,1,0)</f>
        <v>1</v>
      </c>
      <c r="X195" s="24">
        <f>ROUND(INDEX($C$2:$C$5,MATCH($E195,$B$2:$B$5,0))*$F195/SUMIFS($F:$F,$E:$E,$E195,$B:$B,$B195,W:W,1)*IF(B195=$B$10,0.9,1),0)</f>
        <v>500</v>
      </c>
      <c r="Y195" s="24">
        <f t="shared" si="799"/>
        <v>1</v>
      </c>
      <c r="Z195" s="24">
        <f>ROUND(INDEX($C$2:$C$5,MATCH($E195,$B$2:$B$5,0))*$G195/SUMIFS($G:$G,$E:$E,$E195,$B:$B,$B195,Y:Y,1)*IF(B195=$B$10,0.9,1),0)</f>
        <v>500</v>
      </c>
      <c r="AA195" s="24">
        <f t="shared" si="799"/>
        <v>1</v>
      </c>
      <c r="AB195" s="24">
        <f>ROUND(INDEX($C$2:$C$5,MATCH($E195,$B$2:$B$5,0))*$H195/SUMIFS($H:$H,$E:$E,$E195,$B:$B,$B195,AA:AA,1)*IF(B195=$B$10,0.9,1),0)</f>
        <v>500</v>
      </c>
      <c r="AC195" s="24">
        <f t="shared" ref="AC195:AG195" si="800">IF($L195&lt;=AC$8,1,0)</f>
        <v>1</v>
      </c>
      <c r="AD195" s="24">
        <f>ROUND(INDEX($C$2:$C$5,MATCH($E195,$B$2:$B$5,0))*$F195/SUMIFS($F:$F,$E:$E,$E195,$B:$B,$B195,AC:AC,1)*IF(B195=$B$10,0.9,1),0)</f>
        <v>250</v>
      </c>
      <c r="AE195" s="24">
        <f t="shared" si="800"/>
        <v>1</v>
      </c>
      <c r="AF195" s="24">
        <f>ROUND(INDEX($C$2:$C$5,MATCH($E195,$B$2:$B$5,0))*$G195/SUMIFS($G:$G,$E:$E,$E195,$B:$B,$B195,AE:AE,1)*IF(B195=$B$10,0.9,1),0)</f>
        <v>250</v>
      </c>
      <c r="AG195" s="24">
        <f t="shared" si="800"/>
        <v>1</v>
      </c>
      <c r="AH195" s="24">
        <f>ROUND(INDEX($C$2:$C$5,MATCH($E195,$B$2:$B$5,0))*$H195/SUMIFS($H:$H,$E:$E,$E195,$B:$B,$B195,AG:AG,1)*IF(B195=$B$10,0.9,1),0)</f>
        <v>250</v>
      </c>
      <c r="AI195" s="24">
        <f t="shared" ref="AI195:AM195" si="801">IF($L195&lt;=AI$8,1,0)</f>
        <v>1</v>
      </c>
      <c r="AJ195" s="24">
        <f>ROUND(INDEX($C$2:$C$5,MATCH($E195,$B$2:$B$5,0))*$F195/SUMIFS($F:$F,$E:$E,$E195,$B:$B,$B195,AI:AI,1)*IF(B195=$B$10,0.9,1),0)</f>
        <v>250</v>
      </c>
      <c r="AK195" s="24">
        <f t="shared" si="801"/>
        <v>1</v>
      </c>
      <c r="AL195" s="24">
        <f>ROUND(INDEX($C$2:$C$5,MATCH($E195,$B$2:$B$5,0))*$G195/SUMIFS($G:$G,$E:$E,$E195,$B:$B,$B195,AK:AK,1)*IF(B195=$B$10,0.9,1),0)</f>
        <v>250</v>
      </c>
      <c r="AM195" s="24">
        <f t="shared" si="801"/>
        <v>1</v>
      </c>
      <c r="AN195" s="24">
        <f>ROUND(INDEX($C$2:$C$5,MATCH($E195,$B$2:$B$5,0))*$H195/SUMIFS($H:$H,$E:$E,$E195,$B:$B,$B195,AM:AM,1)*IF(B195=$B$10,0.9,1),0)</f>
        <v>250</v>
      </c>
      <c r="AX195" s="4" t="str">
        <f t="shared" si="559"/>
        <v>1,250</v>
      </c>
      <c r="AY195" s="4" t="str">
        <f t="shared" si="560"/>
        <v>1,500</v>
      </c>
      <c r="AZ195" s="4" t="str">
        <f t="shared" si="561"/>
        <v>1,500</v>
      </c>
      <c r="BA195" s="4" t="str">
        <f t="shared" si="562"/>
        <v>1,500</v>
      </c>
      <c r="BB195" s="4" t="str">
        <f t="shared" si="563"/>
        <v>1,500</v>
      </c>
      <c r="BC195" s="4" t="str">
        <f t="shared" si="564"/>
        <v>1,500</v>
      </c>
      <c r="BD195" s="4" t="str">
        <f t="shared" si="565"/>
        <v>1,500</v>
      </c>
      <c r="BE195" s="4" t="str">
        <f t="shared" si="566"/>
        <v>1,250</v>
      </c>
      <c r="BF195" s="4" t="str">
        <f t="shared" si="567"/>
        <v>1,250</v>
      </c>
      <c r="BG195" s="4" t="str">
        <f t="shared" si="568"/>
        <v>1,250</v>
      </c>
      <c r="BH195" s="4" t="str">
        <f t="shared" si="569"/>
        <v>1,250</v>
      </c>
      <c r="BI195" s="4" t="str">
        <f t="shared" si="570"/>
        <v>1,250</v>
      </c>
      <c r="BJ195" s="4" t="str">
        <f t="shared" si="571"/>
        <v>1,250</v>
      </c>
    </row>
    <row r="196" customHeight="1" spans="1:62">
      <c r="A196" s="35">
        <v>1152</v>
      </c>
      <c r="B196" s="61" t="s">
        <v>93</v>
      </c>
      <c r="C196" s="40"/>
      <c r="D196" s="48" t="s">
        <v>371</v>
      </c>
      <c r="E196" s="43">
        <v>4</v>
      </c>
      <c r="F196" s="35">
        <v>1</v>
      </c>
      <c r="G196" s="35">
        <f t="shared" si="572"/>
        <v>1</v>
      </c>
      <c r="H196" s="35">
        <v>1</v>
      </c>
      <c r="I196" s="35">
        <v>1</v>
      </c>
      <c r="J196" s="35">
        <v>1</v>
      </c>
      <c r="K196" s="35">
        <v>1</v>
      </c>
      <c r="L196" s="35">
        <v>3</v>
      </c>
      <c r="M196" s="35" t="s">
        <v>136</v>
      </c>
      <c r="N196">
        <f t="shared" si="573"/>
        <v>500</v>
      </c>
      <c r="O196" s="35">
        <v>1</v>
      </c>
      <c r="P196" s="24">
        <f>ROUND(INDEX($C$2:$C$5,MATCH($E196,$B$2:$B$5,0))*$F196/SUMIFS($F:$F,$E:$E,$E196,$B:$B,$B196,O:O,1)*IF(B196=$B$10,0.9,1),0)</f>
        <v>250</v>
      </c>
      <c r="Q196" s="24">
        <f t="shared" ref="Q196:U196" si="802">IF($L196&lt;=Q$8,1,0)</f>
        <v>0</v>
      </c>
      <c r="R196" s="24">
        <f>ROUND(INDEX($C$2:$C$5,MATCH($E196,$B$2:$B$5,0))*$I196/SUMIFS($I:$I,$E:$E,$E196,$B:$B,$B196,Q:Q,1)*IF(B196=$B$10,0.9,1),0)</f>
        <v>500</v>
      </c>
      <c r="S196" s="24">
        <f t="shared" si="802"/>
        <v>0</v>
      </c>
      <c r="T196" s="24">
        <f>ROUND(INDEX($C$2:$C$5,MATCH($E196,$B$2:$B$5,0))*$J196/SUMIFS($J:$J,$E:$E,$E196,$B:$B,$B196,S:S,1)*IF(B196=$B$10,0.9,1),0)</f>
        <v>500</v>
      </c>
      <c r="U196" s="24">
        <f t="shared" si="802"/>
        <v>0</v>
      </c>
      <c r="V196" s="24">
        <f>ROUND(INDEX($C$2:$C$5,MATCH($E196,$B$2:$B$5,0))*$K196/SUMIFS($K:$K,$E:$E,$E196,$B:$B,$B196,U:U,1)*IF(B196=$B$10,0.9,1),0)</f>
        <v>500</v>
      </c>
      <c r="W196" s="24">
        <f t="shared" ref="W196:AA196" si="803">IF($L196&lt;=W$8,1,0)</f>
        <v>0</v>
      </c>
      <c r="X196" s="24">
        <f>ROUND(INDEX($C$2:$C$5,MATCH($E196,$B$2:$B$5,0))*$F196/SUMIFS($F:$F,$E:$E,$E196,$B:$B,$B196,W:W,1)*IF(B196=$B$10,0.9,1),0)</f>
        <v>500</v>
      </c>
      <c r="Y196" s="24">
        <f t="shared" si="803"/>
        <v>0</v>
      </c>
      <c r="Z196" s="24">
        <f>ROUND(INDEX($C$2:$C$5,MATCH($E196,$B$2:$B$5,0))*$G196/SUMIFS($G:$G,$E:$E,$E196,$B:$B,$B196,Y:Y,1)*IF(B196=$B$10,0.9,1),0)</f>
        <v>500</v>
      </c>
      <c r="AA196" s="24">
        <f t="shared" si="803"/>
        <v>0</v>
      </c>
      <c r="AB196" s="24">
        <f>ROUND(INDEX($C$2:$C$5,MATCH($E196,$B$2:$B$5,0))*$H196/SUMIFS($H:$H,$E:$E,$E196,$B:$B,$B196,AA:AA,1)*IF(B196=$B$10,0.9,1),0)</f>
        <v>500</v>
      </c>
      <c r="AC196" s="24">
        <f t="shared" ref="AC196:AG196" si="804">IF($L196&lt;=AC$8,1,0)</f>
        <v>1</v>
      </c>
      <c r="AD196" s="24">
        <f>ROUND(INDEX($C$2:$C$5,MATCH($E196,$B$2:$B$5,0))*$F196/SUMIFS($F:$F,$E:$E,$E196,$B:$B,$B196,AC:AC,1)*IF(B196=$B$10,0.9,1),0)</f>
        <v>250</v>
      </c>
      <c r="AE196" s="24">
        <f t="shared" si="804"/>
        <v>1</v>
      </c>
      <c r="AF196" s="24">
        <f>ROUND(INDEX($C$2:$C$5,MATCH($E196,$B$2:$B$5,0))*$G196/SUMIFS($G:$G,$E:$E,$E196,$B:$B,$B196,AE:AE,1)*IF(B196=$B$10,0.9,1),0)</f>
        <v>250</v>
      </c>
      <c r="AG196" s="24">
        <f t="shared" si="804"/>
        <v>1</v>
      </c>
      <c r="AH196" s="24">
        <f>ROUND(INDEX($C$2:$C$5,MATCH($E196,$B$2:$B$5,0))*$H196/SUMIFS($H:$H,$E:$E,$E196,$B:$B,$B196,AG:AG,1)*IF(B196=$B$10,0.9,1),0)</f>
        <v>250</v>
      </c>
      <c r="AI196" s="24">
        <f t="shared" ref="AI196:AM196" si="805">IF($L196&lt;=AI$8,1,0)</f>
        <v>1</v>
      </c>
      <c r="AJ196" s="24">
        <f>ROUND(INDEX($C$2:$C$5,MATCH($E196,$B$2:$B$5,0))*$F196/SUMIFS($F:$F,$E:$E,$E196,$B:$B,$B196,AI:AI,1)*IF(B196=$B$10,0.9,1),0)</f>
        <v>250</v>
      </c>
      <c r="AK196" s="24">
        <f t="shared" si="805"/>
        <v>1</v>
      </c>
      <c r="AL196" s="24">
        <f>ROUND(INDEX($C$2:$C$5,MATCH($E196,$B$2:$B$5,0))*$G196/SUMIFS($G:$G,$E:$E,$E196,$B:$B,$B196,AK:AK,1)*IF(B196=$B$10,0.9,1),0)</f>
        <v>250</v>
      </c>
      <c r="AM196" s="24">
        <f t="shared" si="805"/>
        <v>1</v>
      </c>
      <c r="AN196" s="24">
        <f>ROUND(INDEX($C$2:$C$5,MATCH($E196,$B$2:$B$5,0))*$H196/SUMIFS($H:$H,$E:$E,$E196,$B:$B,$B196,AM:AM,1)*IF(B196=$B$10,0.9,1),0)</f>
        <v>250</v>
      </c>
      <c r="AX196" s="4" t="str">
        <f t="shared" si="559"/>
        <v>1,250</v>
      </c>
      <c r="AY196" s="4" t="str">
        <f t="shared" si="560"/>
        <v>0,500</v>
      </c>
      <c r="AZ196" s="4" t="str">
        <f t="shared" si="561"/>
        <v>0,500</v>
      </c>
      <c r="BA196" s="4" t="str">
        <f t="shared" si="562"/>
        <v>0,500</v>
      </c>
      <c r="BB196" s="4" t="str">
        <f t="shared" si="563"/>
        <v>0,500</v>
      </c>
      <c r="BC196" s="4" t="str">
        <f t="shared" si="564"/>
        <v>0,500</v>
      </c>
      <c r="BD196" s="4" t="str">
        <f t="shared" si="565"/>
        <v>0,500</v>
      </c>
      <c r="BE196" s="4" t="str">
        <f t="shared" si="566"/>
        <v>1,250</v>
      </c>
      <c r="BF196" s="4" t="str">
        <f t="shared" si="567"/>
        <v>1,250</v>
      </c>
      <c r="BG196" s="4" t="str">
        <f t="shared" si="568"/>
        <v>1,250</v>
      </c>
      <c r="BH196" s="4" t="str">
        <f t="shared" si="569"/>
        <v>1,250</v>
      </c>
      <c r="BI196" s="4" t="str">
        <f t="shared" si="570"/>
        <v>1,250</v>
      </c>
      <c r="BJ196" s="4" t="str">
        <f t="shared" si="571"/>
        <v>1,250</v>
      </c>
    </row>
    <row r="197" customHeight="1" spans="1:62">
      <c r="A197" s="35">
        <v>1201</v>
      </c>
      <c r="B197" s="61" t="s">
        <v>98</v>
      </c>
      <c r="C197" s="40"/>
      <c r="D197" s="41" t="s">
        <v>356</v>
      </c>
      <c r="E197" s="43">
        <v>1</v>
      </c>
      <c r="F197" s="35">
        <v>1</v>
      </c>
      <c r="G197" s="35">
        <f t="shared" si="572"/>
        <v>1</v>
      </c>
      <c r="H197" s="35">
        <v>1</v>
      </c>
      <c r="I197" s="35">
        <v>1</v>
      </c>
      <c r="J197" s="35">
        <v>1</v>
      </c>
      <c r="K197" s="35">
        <v>1</v>
      </c>
      <c r="L197" s="35">
        <v>1</v>
      </c>
      <c r="M197" s="35"/>
      <c r="N197">
        <f t="shared" si="573"/>
        <v>13500</v>
      </c>
      <c r="O197" s="35">
        <v>1</v>
      </c>
      <c r="P197" s="24">
        <f>ROUND(INDEX($C$2:$C$5,MATCH($E197,$B$2:$B$5,0))*$F197/SUMIFS($F:$F,$E:$E,$E197,$B:$B,$B197,O:O,1)*IF(B197=$B$10,0.9,1),0)</f>
        <v>4500</v>
      </c>
      <c r="Q197" s="24">
        <f t="shared" ref="Q197:U197" si="806">IF($L197&lt;=Q$8,1,0)</f>
        <v>1</v>
      </c>
      <c r="R197" s="24">
        <f>ROUND(INDEX($C$2:$C$5,MATCH($E197,$B$2:$B$5,0))*$I197/SUMIFS($I:$I,$E:$E,$E197,$B:$B,$B197,Q:Q,1)*IF(B197=$B$10,0.9,1),0)</f>
        <v>4500</v>
      </c>
      <c r="S197" s="24">
        <f t="shared" si="806"/>
        <v>1</v>
      </c>
      <c r="T197" s="24">
        <f>ROUND(INDEX($C$2:$C$5,MATCH($E197,$B$2:$B$5,0))*$J197/SUMIFS($J:$J,$E:$E,$E197,$B:$B,$B197,S:S,1)*IF(B197=$B$10,0.9,1),0)</f>
        <v>4500</v>
      </c>
      <c r="U197" s="24">
        <f t="shared" si="806"/>
        <v>1</v>
      </c>
      <c r="V197" s="24">
        <f>ROUND(INDEX($C$2:$C$5,MATCH($E197,$B$2:$B$5,0))*$K197/SUMIFS($K:$K,$E:$E,$E197,$B:$B,$B197,U:U,1)*IF(B197=$B$10,0.9,1),0)</f>
        <v>4500</v>
      </c>
      <c r="W197" s="24">
        <f t="shared" ref="W197:AA197" si="807">IF($L197&lt;=W$8,1,0)</f>
        <v>1</v>
      </c>
      <c r="X197" s="24">
        <f>ROUND(INDEX($C$2:$C$5,MATCH($E197,$B$2:$B$5,0))*$F197/SUMIFS($F:$F,$E:$E,$E197,$B:$B,$B197,W:W,1)*IF(B197=$B$10,0.9,1),0)</f>
        <v>4500</v>
      </c>
      <c r="Y197" s="24">
        <f t="shared" si="807"/>
        <v>1</v>
      </c>
      <c r="Z197" s="24">
        <f>ROUND(INDEX($C$2:$C$5,MATCH($E197,$B$2:$B$5,0))*$G197/SUMIFS($G:$G,$E:$E,$E197,$B:$B,$B197,Y:Y,1)*IF(B197=$B$10,0.9,1),0)</f>
        <v>4500</v>
      </c>
      <c r="AA197" s="24">
        <f t="shared" si="807"/>
        <v>1</v>
      </c>
      <c r="AB197" s="24">
        <f>ROUND(INDEX($C$2:$C$5,MATCH($E197,$B$2:$B$5,0))*$H197/SUMIFS($H:$H,$E:$E,$E197,$B:$B,$B197,AA:AA,1)*IF(B197=$B$10,0.9,1),0)</f>
        <v>4500</v>
      </c>
      <c r="AC197" s="24">
        <f t="shared" ref="AC197:AG197" si="808">IF($L197&lt;=AC$8,1,0)</f>
        <v>1</v>
      </c>
      <c r="AD197" s="24">
        <f>ROUND(INDEX($C$2:$C$5,MATCH($E197,$B$2:$B$5,0))*$F197/SUMIFS($F:$F,$E:$E,$E197,$B:$B,$B197,AC:AC,1)*IF(B197=$B$10,0.9,1),0)</f>
        <v>4500</v>
      </c>
      <c r="AE197" s="24">
        <f t="shared" si="808"/>
        <v>1</v>
      </c>
      <c r="AF197" s="24">
        <f>ROUND(INDEX($C$2:$C$5,MATCH($E197,$B$2:$B$5,0))*$G197/SUMIFS($G:$G,$E:$E,$E197,$B:$B,$B197,AE:AE,1)*IF(B197=$B$10,0.9,1),0)</f>
        <v>4500</v>
      </c>
      <c r="AG197" s="24">
        <f t="shared" si="808"/>
        <v>1</v>
      </c>
      <c r="AH197" s="24">
        <f>ROUND(INDEX($C$2:$C$5,MATCH($E197,$B$2:$B$5,0))*$H197/SUMIFS($H:$H,$E:$E,$E197,$B:$B,$B197,AG:AG,1)*IF(B197=$B$10,0.9,1),0)</f>
        <v>4500</v>
      </c>
      <c r="AI197" s="24">
        <f t="shared" ref="AI197:AM197" si="809">IF($L197&lt;=AI$8,1,0)</f>
        <v>1</v>
      </c>
      <c r="AJ197" s="24">
        <f>ROUND(INDEX($C$2:$C$5,MATCH($E197,$B$2:$B$5,0))*$F197/SUMIFS($F:$F,$E:$E,$E197,$B:$B,$B197,AI:AI,1)*IF(B197=$B$10,0.9,1),0)</f>
        <v>4500</v>
      </c>
      <c r="AK197" s="24">
        <f t="shared" si="809"/>
        <v>1</v>
      </c>
      <c r="AL197" s="24">
        <f>ROUND(INDEX($C$2:$C$5,MATCH($E197,$B$2:$B$5,0))*$G197/SUMIFS($G:$G,$E:$E,$E197,$B:$B,$B197,AK:AK,1)*IF(B197=$B$10,0.9,1),0)</f>
        <v>4500</v>
      </c>
      <c r="AM197" s="24">
        <f t="shared" si="809"/>
        <v>1</v>
      </c>
      <c r="AN197" s="24">
        <f>ROUND(INDEX($C$2:$C$5,MATCH($E197,$B$2:$B$5,0))*$H197/SUMIFS($H:$H,$E:$E,$E197,$B:$B,$B197,AM:AM,1)*IF(B197=$B$10,0.9,1),0)</f>
        <v>4500</v>
      </c>
      <c r="AX197" s="4" t="str">
        <f t="shared" si="559"/>
        <v>1,4500</v>
      </c>
      <c r="AY197" s="4" t="str">
        <f t="shared" si="560"/>
        <v>1,4500</v>
      </c>
      <c r="AZ197" s="4" t="str">
        <f t="shared" si="561"/>
        <v>1,4500</v>
      </c>
      <c r="BA197" s="4" t="str">
        <f t="shared" si="562"/>
        <v>1,4500</v>
      </c>
      <c r="BB197" s="4" t="str">
        <f t="shared" si="563"/>
        <v>1,4500</v>
      </c>
      <c r="BC197" s="4" t="str">
        <f t="shared" si="564"/>
        <v>1,4500</v>
      </c>
      <c r="BD197" s="4" t="str">
        <f t="shared" si="565"/>
        <v>1,4500</v>
      </c>
      <c r="BE197" s="4" t="str">
        <f t="shared" si="566"/>
        <v>1,4500</v>
      </c>
      <c r="BF197" s="4" t="str">
        <f t="shared" si="567"/>
        <v>1,4500</v>
      </c>
      <c r="BG197" s="4" t="str">
        <f t="shared" si="568"/>
        <v>1,4500</v>
      </c>
      <c r="BH197" s="4" t="str">
        <f t="shared" si="569"/>
        <v>1,4500</v>
      </c>
      <c r="BI197" s="4" t="str">
        <f t="shared" si="570"/>
        <v>1,4500</v>
      </c>
      <c r="BJ197" s="4" t="str">
        <f t="shared" si="571"/>
        <v>1,4500</v>
      </c>
    </row>
    <row r="198" customHeight="1" spans="1:62">
      <c r="A198" s="35">
        <v>1202</v>
      </c>
      <c r="B198" s="61" t="s">
        <v>98</v>
      </c>
      <c r="C198" s="40"/>
      <c r="D198" s="41" t="s">
        <v>357</v>
      </c>
      <c r="E198" s="43">
        <v>1</v>
      </c>
      <c r="F198" s="35">
        <v>1</v>
      </c>
      <c r="G198" s="35">
        <f t="shared" si="572"/>
        <v>1</v>
      </c>
      <c r="H198" s="35">
        <v>1</v>
      </c>
      <c r="I198" s="35">
        <v>1</v>
      </c>
      <c r="J198" s="35">
        <v>1</v>
      </c>
      <c r="K198" s="35">
        <v>1</v>
      </c>
      <c r="L198" s="35">
        <v>1</v>
      </c>
      <c r="M198" s="35"/>
      <c r="N198">
        <f t="shared" si="573"/>
        <v>13500</v>
      </c>
      <c r="O198" s="35">
        <v>1</v>
      </c>
      <c r="P198" s="24">
        <f>ROUND(INDEX($C$2:$C$5,MATCH($E198,$B$2:$B$5,0))*$F198/SUMIFS($F:$F,$E:$E,$E198,$B:$B,$B198,O:O,1)*IF(B198=$B$10,0.9,1),0)</f>
        <v>4500</v>
      </c>
      <c r="Q198" s="24">
        <f t="shared" ref="Q198:U198" si="810">IF($L198&lt;=Q$8,1,0)</f>
        <v>1</v>
      </c>
      <c r="R198" s="24">
        <f>ROUND(INDEX($C$2:$C$5,MATCH($E198,$B$2:$B$5,0))*$I198/SUMIFS($I:$I,$E:$E,$E198,$B:$B,$B198,Q:Q,1)*IF(B198=$B$10,0.9,1),0)</f>
        <v>4500</v>
      </c>
      <c r="S198" s="24">
        <f t="shared" si="810"/>
        <v>1</v>
      </c>
      <c r="T198" s="24">
        <f>ROUND(INDEX($C$2:$C$5,MATCH($E198,$B$2:$B$5,0))*$J198/SUMIFS($J:$J,$E:$E,$E198,$B:$B,$B198,S:S,1)*IF(B198=$B$10,0.9,1),0)</f>
        <v>4500</v>
      </c>
      <c r="U198" s="24">
        <f t="shared" si="810"/>
        <v>1</v>
      </c>
      <c r="V198" s="24">
        <f>ROUND(INDEX($C$2:$C$5,MATCH($E198,$B$2:$B$5,0))*$K198/SUMIFS($K:$K,$E:$E,$E198,$B:$B,$B198,U:U,1)*IF(B198=$B$10,0.9,1),0)</f>
        <v>4500</v>
      </c>
      <c r="W198" s="24">
        <f t="shared" ref="W198:AA198" si="811">IF($L198&lt;=W$8,1,0)</f>
        <v>1</v>
      </c>
      <c r="X198" s="24">
        <f>ROUND(INDEX($C$2:$C$5,MATCH($E198,$B$2:$B$5,0))*$F198/SUMIFS($F:$F,$E:$E,$E198,$B:$B,$B198,W:W,1)*IF(B198=$B$10,0.9,1),0)</f>
        <v>4500</v>
      </c>
      <c r="Y198" s="24">
        <f t="shared" si="811"/>
        <v>1</v>
      </c>
      <c r="Z198" s="24">
        <f>ROUND(INDEX($C$2:$C$5,MATCH($E198,$B$2:$B$5,0))*$G198/SUMIFS($G:$G,$E:$E,$E198,$B:$B,$B198,Y:Y,1)*IF(B198=$B$10,0.9,1),0)</f>
        <v>4500</v>
      </c>
      <c r="AA198" s="24">
        <f t="shared" si="811"/>
        <v>1</v>
      </c>
      <c r="AB198" s="24">
        <f>ROUND(INDEX($C$2:$C$5,MATCH($E198,$B$2:$B$5,0))*$H198/SUMIFS($H:$H,$E:$E,$E198,$B:$B,$B198,AA:AA,1)*IF(B198=$B$10,0.9,1),0)</f>
        <v>4500</v>
      </c>
      <c r="AC198" s="24">
        <f t="shared" ref="AC198:AG198" si="812">IF($L198&lt;=AC$8,1,0)</f>
        <v>1</v>
      </c>
      <c r="AD198" s="24">
        <f>ROUND(INDEX($C$2:$C$5,MATCH($E198,$B$2:$B$5,0))*$F198/SUMIFS($F:$F,$E:$E,$E198,$B:$B,$B198,AC:AC,1)*IF(B198=$B$10,0.9,1),0)</f>
        <v>4500</v>
      </c>
      <c r="AE198" s="24">
        <f t="shared" si="812"/>
        <v>1</v>
      </c>
      <c r="AF198" s="24">
        <f>ROUND(INDEX($C$2:$C$5,MATCH($E198,$B$2:$B$5,0))*$G198/SUMIFS($G:$G,$E:$E,$E198,$B:$B,$B198,AE:AE,1)*IF(B198=$B$10,0.9,1),0)</f>
        <v>4500</v>
      </c>
      <c r="AG198" s="24">
        <f t="shared" si="812"/>
        <v>1</v>
      </c>
      <c r="AH198" s="24">
        <f>ROUND(INDEX($C$2:$C$5,MATCH($E198,$B$2:$B$5,0))*$H198/SUMIFS($H:$H,$E:$E,$E198,$B:$B,$B198,AG:AG,1)*IF(B198=$B$10,0.9,1),0)</f>
        <v>4500</v>
      </c>
      <c r="AI198" s="24">
        <f t="shared" ref="AI198:AM198" si="813">IF($L198&lt;=AI$8,1,0)</f>
        <v>1</v>
      </c>
      <c r="AJ198" s="24">
        <f>ROUND(INDEX($C$2:$C$5,MATCH($E198,$B$2:$B$5,0))*$F198/SUMIFS($F:$F,$E:$E,$E198,$B:$B,$B198,AI:AI,1)*IF(B198=$B$10,0.9,1),0)</f>
        <v>4500</v>
      </c>
      <c r="AK198" s="24">
        <f t="shared" si="813"/>
        <v>1</v>
      </c>
      <c r="AL198" s="24">
        <f>ROUND(INDEX($C$2:$C$5,MATCH($E198,$B$2:$B$5,0))*$G198/SUMIFS($G:$G,$E:$E,$E198,$B:$B,$B198,AK:AK,1)*IF(B198=$B$10,0.9,1),0)</f>
        <v>4500</v>
      </c>
      <c r="AM198" s="24">
        <f t="shared" si="813"/>
        <v>1</v>
      </c>
      <c r="AN198" s="24">
        <f>ROUND(INDEX($C$2:$C$5,MATCH($E198,$B$2:$B$5,0))*$H198/SUMIFS($H:$H,$E:$E,$E198,$B:$B,$B198,AM:AM,1)*IF(B198=$B$10,0.9,1),0)</f>
        <v>4500</v>
      </c>
      <c r="AX198" s="4" t="str">
        <f t="shared" si="559"/>
        <v>1,4500</v>
      </c>
      <c r="AY198" s="4" t="str">
        <f t="shared" si="560"/>
        <v>1,4500</v>
      </c>
      <c r="AZ198" s="4" t="str">
        <f t="shared" si="561"/>
        <v>1,4500</v>
      </c>
      <c r="BA198" s="4" t="str">
        <f t="shared" si="562"/>
        <v>1,4500</v>
      </c>
      <c r="BB198" s="4" t="str">
        <f t="shared" si="563"/>
        <v>1,4500</v>
      </c>
      <c r="BC198" s="4" t="str">
        <f t="shared" si="564"/>
        <v>1,4500</v>
      </c>
      <c r="BD198" s="4" t="str">
        <f t="shared" si="565"/>
        <v>1,4500</v>
      </c>
      <c r="BE198" s="4" t="str">
        <f t="shared" si="566"/>
        <v>1,4500</v>
      </c>
      <c r="BF198" s="4" t="str">
        <f t="shared" si="567"/>
        <v>1,4500</v>
      </c>
      <c r="BG198" s="4" t="str">
        <f t="shared" si="568"/>
        <v>1,4500</v>
      </c>
      <c r="BH198" s="4" t="str">
        <f t="shared" si="569"/>
        <v>1,4500</v>
      </c>
      <c r="BI198" s="4" t="str">
        <f t="shared" si="570"/>
        <v>1,4500</v>
      </c>
      <c r="BJ198" s="4" t="str">
        <f t="shared" si="571"/>
        <v>1,4500</v>
      </c>
    </row>
    <row r="199" customHeight="1" spans="1:62">
      <c r="A199" s="35">
        <v>1203</v>
      </c>
      <c r="B199" s="61" t="s">
        <v>98</v>
      </c>
      <c r="C199" s="40"/>
      <c r="D199" s="41" t="s">
        <v>361</v>
      </c>
      <c r="E199" s="43">
        <v>1</v>
      </c>
      <c r="F199" s="35">
        <v>1</v>
      </c>
      <c r="G199" s="35">
        <f t="shared" si="572"/>
        <v>1</v>
      </c>
      <c r="H199" s="35">
        <v>1</v>
      </c>
      <c r="I199" s="35">
        <v>1</v>
      </c>
      <c r="J199" s="35">
        <v>1</v>
      </c>
      <c r="K199" s="35">
        <v>1</v>
      </c>
      <c r="L199" s="35">
        <v>1</v>
      </c>
      <c r="M199" s="35"/>
      <c r="N199">
        <f t="shared" si="573"/>
        <v>13500</v>
      </c>
      <c r="O199" s="35">
        <v>1</v>
      </c>
      <c r="P199" s="24">
        <f>ROUND(INDEX($C$2:$C$5,MATCH($E199,$B$2:$B$5,0))*$F199/SUMIFS($F:$F,$E:$E,$E199,$B:$B,$B199,O:O,1)*IF(B199=$B$10,0.9,1),0)</f>
        <v>4500</v>
      </c>
      <c r="Q199" s="24">
        <f t="shared" ref="Q199:U199" si="814">IF($L199&lt;=Q$8,1,0)</f>
        <v>1</v>
      </c>
      <c r="R199" s="24">
        <f>ROUND(INDEX($C$2:$C$5,MATCH($E199,$B$2:$B$5,0))*$I199/SUMIFS($I:$I,$E:$E,$E199,$B:$B,$B199,Q:Q,1)*IF(B199=$B$10,0.9,1),0)</f>
        <v>4500</v>
      </c>
      <c r="S199" s="24">
        <f t="shared" si="814"/>
        <v>1</v>
      </c>
      <c r="T199" s="24">
        <f>ROUND(INDEX($C$2:$C$5,MATCH($E199,$B$2:$B$5,0))*$J199/SUMIFS($J:$J,$E:$E,$E199,$B:$B,$B199,S:S,1)*IF(B199=$B$10,0.9,1),0)</f>
        <v>4500</v>
      </c>
      <c r="U199" s="24">
        <f t="shared" si="814"/>
        <v>1</v>
      </c>
      <c r="V199" s="24">
        <f>ROUND(INDEX($C$2:$C$5,MATCH($E199,$B$2:$B$5,0))*$K199/SUMIFS($K:$K,$E:$E,$E199,$B:$B,$B199,U:U,1)*IF(B199=$B$10,0.9,1),0)</f>
        <v>4500</v>
      </c>
      <c r="W199" s="24">
        <f t="shared" ref="W199:AA199" si="815">IF($L199&lt;=W$8,1,0)</f>
        <v>1</v>
      </c>
      <c r="X199" s="24">
        <f>ROUND(INDEX($C$2:$C$5,MATCH($E199,$B$2:$B$5,0))*$F199/SUMIFS($F:$F,$E:$E,$E199,$B:$B,$B199,W:W,1)*IF(B199=$B$10,0.9,1),0)</f>
        <v>4500</v>
      </c>
      <c r="Y199" s="24">
        <f t="shared" si="815"/>
        <v>1</v>
      </c>
      <c r="Z199" s="24">
        <f>ROUND(INDEX($C$2:$C$5,MATCH($E199,$B$2:$B$5,0))*$G199/SUMIFS($G:$G,$E:$E,$E199,$B:$B,$B199,Y:Y,1)*IF(B199=$B$10,0.9,1),0)</f>
        <v>4500</v>
      </c>
      <c r="AA199" s="24">
        <f t="shared" si="815"/>
        <v>1</v>
      </c>
      <c r="AB199" s="24">
        <f>ROUND(INDEX($C$2:$C$5,MATCH($E199,$B$2:$B$5,0))*$H199/SUMIFS($H:$H,$E:$E,$E199,$B:$B,$B199,AA:AA,1)*IF(B199=$B$10,0.9,1),0)</f>
        <v>4500</v>
      </c>
      <c r="AC199" s="24">
        <f t="shared" ref="AC199:AG199" si="816">IF($L199&lt;=AC$8,1,0)</f>
        <v>1</v>
      </c>
      <c r="AD199" s="24">
        <f>ROUND(INDEX($C$2:$C$5,MATCH($E199,$B$2:$B$5,0))*$F199/SUMIFS($F:$F,$E:$E,$E199,$B:$B,$B199,AC:AC,1)*IF(B199=$B$10,0.9,1),0)</f>
        <v>4500</v>
      </c>
      <c r="AE199" s="24">
        <f t="shared" si="816"/>
        <v>1</v>
      </c>
      <c r="AF199" s="24">
        <f>ROUND(INDEX($C$2:$C$5,MATCH($E199,$B$2:$B$5,0))*$G199/SUMIFS($G:$G,$E:$E,$E199,$B:$B,$B199,AE:AE,1)*IF(B199=$B$10,0.9,1),0)</f>
        <v>4500</v>
      </c>
      <c r="AG199" s="24">
        <f t="shared" si="816"/>
        <v>1</v>
      </c>
      <c r="AH199" s="24">
        <f>ROUND(INDEX($C$2:$C$5,MATCH($E199,$B$2:$B$5,0))*$H199/SUMIFS($H:$H,$E:$E,$E199,$B:$B,$B199,AG:AG,1)*IF(B199=$B$10,0.9,1),0)</f>
        <v>4500</v>
      </c>
      <c r="AI199" s="24">
        <f t="shared" ref="AI199:AM199" si="817">IF($L199&lt;=AI$8,1,0)</f>
        <v>1</v>
      </c>
      <c r="AJ199" s="24">
        <f>ROUND(INDEX($C$2:$C$5,MATCH($E199,$B$2:$B$5,0))*$F199/SUMIFS($F:$F,$E:$E,$E199,$B:$B,$B199,AI:AI,1)*IF(B199=$B$10,0.9,1),0)</f>
        <v>4500</v>
      </c>
      <c r="AK199" s="24">
        <f t="shared" si="817"/>
        <v>1</v>
      </c>
      <c r="AL199" s="24">
        <f>ROUND(INDEX($C$2:$C$5,MATCH($E199,$B$2:$B$5,0))*$G199/SUMIFS($G:$G,$E:$E,$E199,$B:$B,$B199,AK:AK,1)*IF(B199=$B$10,0.9,1),0)</f>
        <v>4500</v>
      </c>
      <c r="AM199" s="24">
        <f t="shared" si="817"/>
        <v>1</v>
      </c>
      <c r="AN199" s="24">
        <f>ROUND(INDEX($C$2:$C$5,MATCH($E199,$B$2:$B$5,0))*$H199/SUMIFS($H:$H,$E:$E,$E199,$B:$B,$B199,AM:AM,1)*IF(B199=$B$10,0.9,1),0)</f>
        <v>4500</v>
      </c>
      <c r="AX199" s="4" t="str">
        <f t="shared" si="559"/>
        <v>1,4500</v>
      </c>
      <c r="AY199" s="4" t="str">
        <f t="shared" si="560"/>
        <v>1,4500</v>
      </c>
      <c r="AZ199" s="4" t="str">
        <f t="shared" si="561"/>
        <v>1,4500</v>
      </c>
      <c r="BA199" s="4" t="str">
        <f t="shared" si="562"/>
        <v>1,4500</v>
      </c>
      <c r="BB199" s="4" t="str">
        <f t="shared" si="563"/>
        <v>1,4500</v>
      </c>
      <c r="BC199" s="4" t="str">
        <f t="shared" si="564"/>
        <v>1,4500</v>
      </c>
      <c r="BD199" s="4" t="str">
        <f t="shared" si="565"/>
        <v>1,4500</v>
      </c>
      <c r="BE199" s="4" t="str">
        <f t="shared" si="566"/>
        <v>1,4500</v>
      </c>
      <c r="BF199" s="4" t="str">
        <f t="shared" si="567"/>
        <v>1,4500</v>
      </c>
      <c r="BG199" s="4" t="str">
        <f t="shared" si="568"/>
        <v>1,4500</v>
      </c>
      <c r="BH199" s="4" t="str">
        <f t="shared" si="569"/>
        <v>1,4500</v>
      </c>
      <c r="BI199" s="4" t="str">
        <f t="shared" si="570"/>
        <v>1,4500</v>
      </c>
      <c r="BJ199" s="4" t="str">
        <f t="shared" si="571"/>
        <v>1,4500</v>
      </c>
    </row>
    <row r="200" customHeight="1" spans="1:62">
      <c r="A200" s="35">
        <v>1211</v>
      </c>
      <c r="B200" s="61" t="s">
        <v>98</v>
      </c>
      <c r="C200" s="40"/>
      <c r="D200" s="44" t="s">
        <v>362</v>
      </c>
      <c r="E200" s="45">
        <v>2</v>
      </c>
      <c r="F200" s="35">
        <v>1</v>
      </c>
      <c r="G200" s="35">
        <f t="shared" si="572"/>
        <v>1</v>
      </c>
      <c r="H200" s="35">
        <v>1</v>
      </c>
      <c r="I200" s="35">
        <v>1</v>
      </c>
      <c r="J200" s="35">
        <v>1</v>
      </c>
      <c r="K200" s="35">
        <v>1</v>
      </c>
      <c r="L200" s="35">
        <v>1</v>
      </c>
      <c r="M200" s="35" t="s">
        <v>136</v>
      </c>
      <c r="N200">
        <f t="shared" si="573"/>
        <v>4500</v>
      </c>
      <c r="O200" s="35">
        <v>1</v>
      </c>
      <c r="P200" s="24">
        <f>ROUND(INDEX($C$2:$C$5,MATCH($E200,$B$2:$B$5,0))*$F200/SUMIFS($F:$F,$E:$E,$E200,$B:$B,$B200,O:O,1)*IF(B200=$B$10,0.9,1),0)</f>
        <v>750</v>
      </c>
      <c r="Q200" s="24">
        <f t="shared" ref="Q200:U200" si="818">IF($L200&lt;=Q$8,1,0)</f>
        <v>1</v>
      </c>
      <c r="R200" s="24">
        <f>ROUND(INDEX($C$2:$C$5,MATCH($E200,$B$2:$B$5,0))*$I200/SUMIFS($I:$I,$E:$E,$E200,$B:$B,$B200,Q:Q,1)*IF(B200=$B$10,0.9,1),0)</f>
        <v>900</v>
      </c>
      <c r="S200" s="24">
        <f t="shared" si="818"/>
        <v>1</v>
      </c>
      <c r="T200" s="24">
        <f>ROUND(INDEX($C$2:$C$5,MATCH($E200,$B$2:$B$5,0))*$J200/SUMIFS($J:$J,$E:$E,$E200,$B:$B,$B200,S:S,1)*IF(B200=$B$10,0.9,1),0)</f>
        <v>900</v>
      </c>
      <c r="U200" s="24">
        <f t="shared" si="818"/>
        <v>1</v>
      </c>
      <c r="V200" s="24">
        <f>ROUND(INDEX($C$2:$C$5,MATCH($E200,$B$2:$B$5,0))*$K200/SUMIFS($K:$K,$E:$E,$E200,$B:$B,$B200,U:U,1)*IF(B200=$B$10,0.9,1),0)</f>
        <v>900</v>
      </c>
      <c r="W200" s="24">
        <f t="shared" ref="W200:AA200" si="819">IF($L200&lt;=W$8,1,0)</f>
        <v>1</v>
      </c>
      <c r="X200" s="24">
        <f>ROUND(INDEX($C$2:$C$5,MATCH($E200,$B$2:$B$5,0))*$F200/SUMIFS($F:$F,$E:$E,$E200,$B:$B,$B200,W:W,1)*IF(B200=$B$10,0.9,1),0)</f>
        <v>750</v>
      </c>
      <c r="Y200" s="24">
        <f t="shared" si="819"/>
        <v>1</v>
      </c>
      <c r="Z200" s="24">
        <f>ROUND(INDEX($C$2:$C$5,MATCH($E200,$B$2:$B$5,0))*$G200/SUMIFS($G:$G,$E:$E,$E200,$B:$B,$B200,Y:Y,1)*IF(B200=$B$10,0.9,1),0)</f>
        <v>750</v>
      </c>
      <c r="AA200" s="24">
        <f t="shared" si="819"/>
        <v>1</v>
      </c>
      <c r="AB200" s="24">
        <f>ROUND(INDEX($C$2:$C$5,MATCH($E200,$B$2:$B$5,0))*$H200/SUMIFS($H:$H,$E:$E,$E200,$B:$B,$B200,AA:AA,1)*IF(B200=$B$10,0.9,1),0)</f>
        <v>750</v>
      </c>
      <c r="AC200" s="24">
        <f t="shared" ref="AC200:AG200" si="820">IF($L200&lt;=AC$8,1,0)</f>
        <v>1</v>
      </c>
      <c r="AD200" s="24">
        <f>ROUND(INDEX($C$2:$C$5,MATCH($E200,$B$2:$B$5,0))*$F200/SUMIFS($F:$F,$E:$E,$E200,$B:$B,$B200,AC:AC,1)*IF(B200=$B$10,0.9,1),0)</f>
        <v>750</v>
      </c>
      <c r="AE200" s="24">
        <f t="shared" si="820"/>
        <v>1</v>
      </c>
      <c r="AF200" s="24">
        <f>ROUND(INDEX($C$2:$C$5,MATCH($E200,$B$2:$B$5,0))*$G200/SUMIFS($G:$G,$E:$E,$E200,$B:$B,$B200,AE:AE,1)*IF(B200=$B$10,0.9,1),0)</f>
        <v>750</v>
      </c>
      <c r="AG200" s="24">
        <f t="shared" si="820"/>
        <v>1</v>
      </c>
      <c r="AH200" s="24">
        <f>ROUND(INDEX($C$2:$C$5,MATCH($E200,$B$2:$B$5,0))*$H200/SUMIFS($H:$H,$E:$E,$E200,$B:$B,$B200,AG:AG,1)*IF(B200=$B$10,0.9,1),0)</f>
        <v>750</v>
      </c>
      <c r="AI200" s="24">
        <f t="shared" ref="AI200:AM200" si="821">IF($L200&lt;=AI$8,1,0)</f>
        <v>1</v>
      </c>
      <c r="AJ200" s="24">
        <f>ROUND(INDEX($C$2:$C$5,MATCH($E200,$B$2:$B$5,0))*$F200/SUMIFS($F:$F,$E:$E,$E200,$B:$B,$B200,AI:AI,1)*IF(B200=$B$10,0.9,1),0)</f>
        <v>750</v>
      </c>
      <c r="AK200" s="24">
        <f t="shared" si="821"/>
        <v>1</v>
      </c>
      <c r="AL200" s="24">
        <f>ROUND(INDEX($C$2:$C$5,MATCH($E200,$B$2:$B$5,0))*$G200/SUMIFS($G:$G,$E:$E,$E200,$B:$B,$B200,AK:AK,1)*IF(B200=$B$10,0.9,1),0)</f>
        <v>750</v>
      </c>
      <c r="AM200" s="24">
        <f t="shared" si="821"/>
        <v>1</v>
      </c>
      <c r="AN200" s="24">
        <f>ROUND(INDEX($C$2:$C$5,MATCH($E200,$B$2:$B$5,0))*$H200/SUMIFS($H:$H,$E:$E,$E200,$B:$B,$B200,AM:AM,1)*IF(B200=$B$10,0.9,1),0)</f>
        <v>750</v>
      </c>
      <c r="AX200" s="4" t="str">
        <f t="shared" si="559"/>
        <v>1,750</v>
      </c>
      <c r="AY200" s="4" t="str">
        <f t="shared" si="560"/>
        <v>1,900</v>
      </c>
      <c r="AZ200" s="4" t="str">
        <f t="shared" si="561"/>
        <v>1,900</v>
      </c>
      <c r="BA200" s="4" t="str">
        <f t="shared" si="562"/>
        <v>1,900</v>
      </c>
      <c r="BB200" s="4" t="str">
        <f t="shared" si="563"/>
        <v>1,750</v>
      </c>
      <c r="BC200" s="4" t="str">
        <f t="shared" si="564"/>
        <v>1,750</v>
      </c>
      <c r="BD200" s="4" t="str">
        <f t="shared" si="565"/>
        <v>1,750</v>
      </c>
      <c r="BE200" s="4" t="str">
        <f t="shared" si="566"/>
        <v>1,750</v>
      </c>
      <c r="BF200" s="4" t="str">
        <f t="shared" si="567"/>
        <v>1,750</v>
      </c>
      <c r="BG200" s="4" t="str">
        <f t="shared" si="568"/>
        <v>1,750</v>
      </c>
      <c r="BH200" s="4" t="str">
        <f t="shared" si="569"/>
        <v>1,750</v>
      </c>
      <c r="BI200" s="4" t="str">
        <f t="shared" si="570"/>
        <v>1,750</v>
      </c>
      <c r="BJ200" s="4" t="str">
        <f t="shared" si="571"/>
        <v>1,750</v>
      </c>
    </row>
    <row r="201" customHeight="1" spans="1:62">
      <c r="A201" s="35">
        <v>1212</v>
      </c>
      <c r="B201" s="61" t="s">
        <v>98</v>
      </c>
      <c r="C201" s="40"/>
      <c r="D201" s="44" t="s">
        <v>363</v>
      </c>
      <c r="E201" s="45">
        <v>2</v>
      </c>
      <c r="F201" s="35">
        <v>1</v>
      </c>
      <c r="G201" s="35">
        <f t="shared" si="572"/>
        <v>1</v>
      </c>
      <c r="H201" s="35">
        <v>1</v>
      </c>
      <c r="I201" s="35">
        <v>1</v>
      </c>
      <c r="J201" s="35">
        <v>1</v>
      </c>
      <c r="K201" s="35">
        <v>1</v>
      </c>
      <c r="L201" s="35">
        <v>1</v>
      </c>
      <c r="M201" s="35"/>
      <c r="N201">
        <f t="shared" si="573"/>
        <v>4500</v>
      </c>
      <c r="O201" s="35">
        <v>1</v>
      </c>
      <c r="P201" s="24">
        <f>ROUND(INDEX($C$2:$C$5,MATCH($E201,$B$2:$B$5,0))*$F201/SUMIFS($F:$F,$E:$E,$E201,$B:$B,$B201,O:O,1)*IF(B201=$B$10,0.9,1),0)</f>
        <v>750</v>
      </c>
      <c r="Q201" s="24">
        <f t="shared" ref="Q201:U201" si="822">IF($L201&lt;=Q$8,1,0)</f>
        <v>1</v>
      </c>
      <c r="R201" s="24">
        <f>ROUND(INDEX($C$2:$C$5,MATCH($E201,$B$2:$B$5,0))*$I201/SUMIFS($I:$I,$E:$E,$E201,$B:$B,$B201,Q:Q,1)*IF(B201=$B$10,0.9,1),0)</f>
        <v>900</v>
      </c>
      <c r="S201" s="24">
        <f t="shared" si="822"/>
        <v>1</v>
      </c>
      <c r="T201" s="24">
        <f>ROUND(INDEX($C$2:$C$5,MATCH($E201,$B$2:$B$5,0))*$J201/SUMIFS($J:$J,$E:$E,$E201,$B:$B,$B201,S:S,1)*IF(B201=$B$10,0.9,1),0)</f>
        <v>900</v>
      </c>
      <c r="U201" s="24">
        <f t="shared" si="822"/>
        <v>1</v>
      </c>
      <c r="V201" s="24">
        <f>ROUND(INDEX($C$2:$C$5,MATCH($E201,$B$2:$B$5,0))*$K201/SUMIFS($K:$K,$E:$E,$E201,$B:$B,$B201,U:U,1)*IF(B201=$B$10,0.9,1),0)</f>
        <v>900</v>
      </c>
      <c r="W201" s="24">
        <f t="shared" ref="W201:AA201" si="823">IF($L201&lt;=W$8,1,0)</f>
        <v>1</v>
      </c>
      <c r="X201" s="24">
        <f>ROUND(INDEX($C$2:$C$5,MATCH($E201,$B$2:$B$5,0))*$F201/SUMIFS($F:$F,$E:$E,$E201,$B:$B,$B201,W:W,1)*IF(B201=$B$10,0.9,1),0)</f>
        <v>750</v>
      </c>
      <c r="Y201" s="24">
        <f t="shared" si="823"/>
        <v>1</v>
      </c>
      <c r="Z201" s="24">
        <f>ROUND(INDEX($C$2:$C$5,MATCH($E201,$B$2:$B$5,0))*$G201/SUMIFS($G:$G,$E:$E,$E201,$B:$B,$B201,Y:Y,1)*IF(B201=$B$10,0.9,1),0)</f>
        <v>750</v>
      </c>
      <c r="AA201" s="24">
        <f t="shared" si="823"/>
        <v>1</v>
      </c>
      <c r="AB201" s="24">
        <f>ROUND(INDEX($C$2:$C$5,MATCH($E201,$B$2:$B$5,0))*$H201/SUMIFS($H:$H,$E:$E,$E201,$B:$B,$B201,AA:AA,1)*IF(B201=$B$10,0.9,1),0)</f>
        <v>750</v>
      </c>
      <c r="AC201" s="24">
        <f t="shared" ref="AC201:AG201" si="824">IF($L201&lt;=AC$8,1,0)</f>
        <v>1</v>
      </c>
      <c r="AD201" s="24">
        <f>ROUND(INDEX($C$2:$C$5,MATCH($E201,$B$2:$B$5,0))*$F201/SUMIFS($F:$F,$E:$E,$E201,$B:$B,$B201,AC:AC,1)*IF(B201=$B$10,0.9,1),0)</f>
        <v>750</v>
      </c>
      <c r="AE201" s="24">
        <f t="shared" si="824"/>
        <v>1</v>
      </c>
      <c r="AF201" s="24">
        <f>ROUND(INDEX($C$2:$C$5,MATCH($E201,$B$2:$B$5,0))*$G201/SUMIFS($G:$G,$E:$E,$E201,$B:$B,$B201,AE:AE,1)*IF(B201=$B$10,0.9,1),0)</f>
        <v>750</v>
      </c>
      <c r="AG201" s="24">
        <f t="shared" si="824"/>
        <v>1</v>
      </c>
      <c r="AH201" s="24">
        <f>ROUND(INDEX($C$2:$C$5,MATCH($E201,$B$2:$B$5,0))*$H201/SUMIFS($H:$H,$E:$E,$E201,$B:$B,$B201,AG:AG,1)*IF(B201=$B$10,0.9,1),0)</f>
        <v>750</v>
      </c>
      <c r="AI201" s="24">
        <f t="shared" ref="AI201:AM201" si="825">IF($L201&lt;=AI$8,1,0)</f>
        <v>1</v>
      </c>
      <c r="AJ201" s="24">
        <f>ROUND(INDEX($C$2:$C$5,MATCH($E201,$B$2:$B$5,0))*$F201/SUMIFS($F:$F,$E:$E,$E201,$B:$B,$B201,AI:AI,1)*IF(B201=$B$10,0.9,1),0)</f>
        <v>750</v>
      </c>
      <c r="AK201" s="24">
        <f t="shared" si="825"/>
        <v>1</v>
      </c>
      <c r="AL201" s="24">
        <f>ROUND(INDEX($C$2:$C$5,MATCH($E201,$B$2:$B$5,0))*$G201/SUMIFS($G:$G,$E:$E,$E201,$B:$B,$B201,AK:AK,1)*IF(B201=$B$10,0.9,1),0)</f>
        <v>750</v>
      </c>
      <c r="AM201" s="24">
        <f t="shared" si="825"/>
        <v>1</v>
      </c>
      <c r="AN201" s="24">
        <f>ROUND(INDEX($C$2:$C$5,MATCH($E201,$B$2:$B$5,0))*$H201/SUMIFS($H:$H,$E:$E,$E201,$B:$B,$B201,AM:AM,1)*IF(B201=$B$10,0.9,1),0)</f>
        <v>750</v>
      </c>
      <c r="AX201" s="4" t="str">
        <f t="shared" si="559"/>
        <v>1,750</v>
      </c>
      <c r="AY201" s="4" t="str">
        <f t="shared" si="560"/>
        <v>1,900</v>
      </c>
      <c r="AZ201" s="4" t="str">
        <f t="shared" si="561"/>
        <v>1,900</v>
      </c>
      <c r="BA201" s="4" t="str">
        <f t="shared" si="562"/>
        <v>1,900</v>
      </c>
      <c r="BB201" s="4" t="str">
        <f t="shared" si="563"/>
        <v>1,750</v>
      </c>
      <c r="BC201" s="4" t="str">
        <f t="shared" si="564"/>
        <v>1,750</v>
      </c>
      <c r="BD201" s="4" t="str">
        <f t="shared" si="565"/>
        <v>1,750</v>
      </c>
      <c r="BE201" s="4" t="str">
        <f t="shared" si="566"/>
        <v>1,750</v>
      </c>
      <c r="BF201" s="4" t="str">
        <f t="shared" si="567"/>
        <v>1,750</v>
      </c>
      <c r="BG201" s="4" t="str">
        <f t="shared" si="568"/>
        <v>1,750</v>
      </c>
      <c r="BH201" s="4" t="str">
        <f t="shared" si="569"/>
        <v>1,750</v>
      </c>
      <c r="BI201" s="4" t="str">
        <f t="shared" si="570"/>
        <v>1,750</v>
      </c>
      <c r="BJ201" s="4" t="str">
        <f t="shared" si="571"/>
        <v>1,750</v>
      </c>
    </row>
    <row r="202" customHeight="1" spans="1:62">
      <c r="A202" s="35">
        <v>1213</v>
      </c>
      <c r="B202" s="61" t="s">
        <v>98</v>
      </c>
      <c r="C202" s="40"/>
      <c r="D202" s="44" t="s">
        <v>364</v>
      </c>
      <c r="E202" s="45">
        <v>2</v>
      </c>
      <c r="F202" s="35">
        <v>1</v>
      </c>
      <c r="G202" s="35">
        <f t="shared" si="572"/>
        <v>1</v>
      </c>
      <c r="H202" s="35">
        <v>1</v>
      </c>
      <c r="I202" s="35">
        <v>1</v>
      </c>
      <c r="J202" s="35">
        <v>1</v>
      </c>
      <c r="K202" s="35">
        <v>1</v>
      </c>
      <c r="L202" s="35">
        <v>1</v>
      </c>
      <c r="M202" s="35"/>
      <c r="N202">
        <f t="shared" si="573"/>
        <v>4500</v>
      </c>
      <c r="O202" s="35">
        <v>1</v>
      </c>
      <c r="P202" s="24">
        <f>ROUND(INDEX($C$2:$C$5,MATCH($E202,$B$2:$B$5,0))*$F202/SUMIFS($F:$F,$E:$E,$E202,$B:$B,$B202,O:O,1)*IF(B202=$B$10,0.9,1),0)</f>
        <v>750</v>
      </c>
      <c r="Q202" s="24">
        <f t="shared" ref="Q202:U202" si="826">IF($L202&lt;=Q$8,1,0)</f>
        <v>1</v>
      </c>
      <c r="R202" s="24">
        <f>ROUND(INDEX($C$2:$C$5,MATCH($E202,$B$2:$B$5,0))*$I202/SUMIFS($I:$I,$E:$E,$E202,$B:$B,$B202,Q:Q,1)*IF(B202=$B$10,0.9,1),0)</f>
        <v>900</v>
      </c>
      <c r="S202" s="24">
        <f t="shared" si="826"/>
        <v>1</v>
      </c>
      <c r="T202" s="24">
        <f>ROUND(INDEX($C$2:$C$5,MATCH($E202,$B$2:$B$5,0))*$J202/SUMIFS($J:$J,$E:$E,$E202,$B:$B,$B202,S:S,1)*IF(B202=$B$10,0.9,1),0)</f>
        <v>900</v>
      </c>
      <c r="U202" s="24">
        <f t="shared" si="826"/>
        <v>1</v>
      </c>
      <c r="V202" s="24">
        <f>ROUND(INDEX($C$2:$C$5,MATCH($E202,$B$2:$B$5,0))*$K202/SUMIFS($K:$K,$E:$E,$E202,$B:$B,$B202,U:U,1)*IF(B202=$B$10,0.9,1),0)</f>
        <v>900</v>
      </c>
      <c r="W202" s="24">
        <f t="shared" ref="W202:AA202" si="827">IF($L202&lt;=W$8,1,0)</f>
        <v>1</v>
      </c>
      <c r="X202" s="24">
        <f>ROUND(INDEX($C$2:$C$5,MATCH($E202,$B$2:$B$5,0))*$F202/SUMIFS($F:$F,$E:$E,$E202,$B:$B,$B202,W:W,1)*IF(B202=$B$10,0.9,1),0)</f>
        <v>750</v>
      </c>
      <c r="Y202" s="24">
        <f t="shared" si="827"/>
        <v>1</v>
      </c>
      <c r="Z202" s="24">
        <f>ROUND(INDEX($C$2:$C$5,MATCH($E202,$B$2:$B$5,0))*$G202/SUMIFS($G:$G,$E:$E,$E202,$B:$B,$B202,Y:Y,1)*IF(B202=$B$10,0.9,1),0)</f>
        <v>750</v>
      </c>
      <c r="AA202" s="24">
        <f t="shared" si="827"/>
        <v>1</v>
      </c>
      <c r="AB202" s="24">
        <f>ROUND(INDEX($C$2:$C$5,MATCH($E202,$B$2:$B$5,0))*$H202/SUMIFS($H:$H,$E:$E,$E202,$B:$B,$B202,AA:AA,1)*IF(B202=$B$10,0.9,1),0)</f>
        <v>750</v>
      </c>
      <c r="AC202" s="24">
        <f t="shared" ref="AC202:AG202" si="828">IF($L202&lt;=AC$8,1,0)</f>
        <v>1</v>
      </c>
      <c r="AD202" s="24">
        <f>ROUND(INDEX($C$2:$C$5,MATCH($E202,$B$2:$B$5,0))*$F202/SUMIFS($F:$F,$E:$E,$E202,$B:$B,$B202,AC:AC,1)*IF(B202=$B$10,0.9,1),0)</f>
        <v>750</v>
      </c>
      <c r="AE202" s="24">
        <f t="shared" si="828"/>
        <v>1</v>
      </c>
      <c r="AF202" s="24">
        <f>ROUND(INDEX($C$2:$C$5,MATCH($E202,$B$2:$B$5,0))*$G202/SUMIFS($G:$G,$E:$E,$E202,$B:$B,$B202,AE:AE,1)*IF(B202=$B$10,0.9,1),0)</f>
        <v>750</v>
      </c>
      <c r="AG202" s="24">
        <f t="shared" si="828"/>
        <v>1</v>
      </c>
      <c r="AH202" s="24">
        <f>ROUND(INDEX($C$2:$C$5,MATCH($E202,$B$2:$B$5,0))*$H202/SUMIFS($H:$H,$E:$E,$E202,$B:$B,$B202,AG:AG,1)*IF(B202=$B$10,0.9,1),0)</f>
        <v>750</v>
      </c>
      <c r="AI202" s="24">
        <f t="shared" ref="AI202:AM202" si="829">IF($L202&lt;=AI$8,1,0)</f>
        <v>1</v>
      </c>
      <c r="AJ202" s="24">
        <f>ROUND(INDEX($C$2:$C$5,MATCH($E202,$B$2:$B$5,0))*$F202/SUMIFS($F:$F,$E:$E,$E202,$B:$B,$B202,AI:AI,1)*IF(B202=$B$10,0.9,1),0)</f>
        <v>750</v>
      </c>
      <c r="AK202" s="24">
        <f t="shared" si="829"/>
        <v>1</v>
      </c>
      <c r="AL202" s="24">
        <f>ROUND(INDEX($C$2:$C$5,MATCH($E202,$B$2:$B$5,0))*$G202/SUMIFS($G:$G,$E:$E,$E202,$B:$B,$B202,AK:AK,1)*IF(B202=$B$10,0.9,1),0)</f>
        <v>750</v>
      </c>
      <c r="AM202" s="24">
        <f t="shared" si="829"/>
        <v>1</v>
      </c>
      <c r="AN202" s="24">
        <f>ROUND(INDEX($C$2:$C$5,MATCH($E202,$B$2:$B$5,0))*$H202/SUMIFS($H:$H,$E:$E,$E202,$B:$B,$B202,AM:AM,1)*IF(B202=$B$10,0.9,1),0)</f>
        <v>750</v>
      </c>
      <c r="AX202" s="4" t="str">
        <f t="shared" ref="AX202:AX265" si="830">_xlfn.TEXTJOIN(",",TRUE,O202:P202)</f>
        <v>1,750</v>
      </c>
      <c r="AY202" s="4" t="str">
        <f t="shared" ref="AY202:AY265" si="831">_xlfn.TEXTJOIN(",",TRUE,Q202:R202)</f>
        <v>1,900</v>
      </c>
      <c r="AZ202" s="4" t="str">
        <f t="shared" ref="AZ202:AZ265" si="832">_xlfn.TEXTJOIN(",",TRUE,S202:T202)</f>
        <v>1,900</v>
      </c>
      <c r="BA202" s="4" t="str">
        <f t="shared" ref="BA202:BA265" si="833">_xlfn.TEXTJOIN(",",TRUE,U202:V202)</f>
        <v>1,900</v>
      </c>
      <c r="BB202" s="4" t="str">
        <f t="shared" ref="BB202:BB265" si="834">_xlfn.TEXTJOIN(",",TRUE,W202:X202)</f>
        <v>1,750</v>
      </c>
      <c r="BC202" s="4" t="str">
        <f t="shared" ref="BC202:BC265" si="835">_xlfn.TEXTJOIN(",",TRUE,Y202:Z202)</f>
        <v>1,750</v>
      </c>
      <c r="BD202" s="4" t="str">
        <f t="shared" ref="BD202:BD265" si="836">_xlfn.TEXTJOIN(",",TRUE,AA202:AB202)</f>
        <v>1,750</v>
      </c>
      <c r="BE202" s="4" t="str">
        <f t="shared" ref="BE202:BE265" si="837">_xlfn.TEXTJOIN(",",TRUE,AC202:AD202)</f>
        <v>1,750</v>
      </c>
      <c r="BF202" s="4" t="str">
        <f t="shared" ref="BF202:BF265" si="838">_xlfn.TEXTJOIN(",",TRUE,AE202:AF202)</f>
        <v>1,750</v>
      </c>
      <c r="BG202" s="4" t="str">
        <f t="shared" ref="BG202:BG265" si="839">_xlfn.TEXTJOIN(",",TRUE,AG202:AH202)</f>
        <v>1,750</v>
      </c>
      <c r="BH202" s="4" t="str">
        <f t="shared" ref="BH202:BH265" si="840">_xlfn.TEXTJOIN(",",TRUE,AI202:AJ202)</f>
        <v>1,750</v>
      </c>
      <c r="BI202" s="4" t="str">
        <f t="shared" ref="BI202:BI265" si="841">_xlfn.TEXTJOIN(",",TRUE,AK202:AL202)</f>
        <v>1,750</v>
      </c>
      <c r="BJ202" s="4" t="str">
        <f t="shared" ref="BJ202:BJ265" si="842">_xlfn.TEXTJOIN(",",TRUE,AM202:AN202)</f>
        <v>1,750</v>
      </c>
    </row>
    <row r="203" customHeight="1" spans="1:62">
      <c r="A203" s="35">
        <v>1214</v>
      </c>
      <c r="B203" s="61" t="s">
        <v>98</v>
      </c>
      <c r="C203" s="40" t="s">
        <v>218</v>
      </c>
      <c r="D203" s="44" t="s">
        <v>365</v>
      </c>
      <c r="E203" s="43">
        <v>2</v>
      </c>
      <c r="F203" s="35">
        <v>1</v>
      </c>
      <c r="G203" s="35">
        <f t="shared" ref="G203:G266" si="843">IF(F203&lt;1,F203*$G$7,1)</f>
        <v>1</v>
      </c>
      <c r="H203" s="35">
        <v>1</v>
      </c>
      <c r="I203" s="35">
        <v>1</v>
      </c>
      <c r="J203" s="35">
        <v>1</v>
      </c>
      <c r="K203" s="35">
        <v>1</v>
      </c>
      <c r="L203" s="35">
        <v>1</v>
      </c>
      <c r="M203" s="35"/>
      <c r="N203">
        <f t="shared" ref="N203:N266" si="844">INDEX($C$2:$C$5,MATCH(E203,$B$2:$B$5,0))</f>
        <v>4500</v>
      </c>
      <c r="O203" s="35">
        <v>1</v>
      </c>
      <c r="P203" s="24">
        <f>ROUND(INDEX($C$2:$C$5,MATCH($E203,$B$2:$B$5,0))*$F203/SUMIFS($F:$F,$E:$E,$E203,$B:$B,$B203,O:O,1)*IF(B203=$B$10,0.9,1),0)</f>
        <v>750</v>
      </c>
      <c r="Q203" s="24">
        <f t="shared" ref="Q203:U203" si="845">IF($L203&lt;=Q$8,1,0)</f>
        <v>1</v>
      </c>
      <c r="R203" s="24">
        <f>ROUND(INDEX($C$2:$C$5,MATCH($E203,$B$2:$B$5,0))*$I203/SUMIFS($I:$I,$E:$E,$E203,$B:$B,$B203,Q:Q,1)*IF(B203=$B$10,0.9,1),0)</f>
        <v>900</v>
      </c>
      <c r="S203" s="24">
        <f t="shared" si="845"/>
        <v>1</v>
      </c>
      <c r="T203" s="24">
        <f>ROUND(INDEX($C$2:$C$5,MATCH($E203,$B$2:$B$5,0))*$J203/SUMIFS($J:$J,$E:$E,$E203,$B:$B,$B203,S:S,1)*IF(B203=$B$10,0.9,1),0)</f>
        <v>900</v>
      </c>
      <c r="U203" s="24">
        <f t="shared" si="845"/>
        <v>1</v>
      </c>
      <c r="V203" s="24">
        <f>ROUND(INDEX($C$2:$C$5,MATCH($E203,$B$2:$B$5,0))*$K203/SUMIFS($K:$K,$E:$E,$E203,$B:$B,$B203,U:U,1)*IF(B203=$B$10,0.9,1),0)</f>
        <v>900</v>
      </c>
      <c r="W203" s="24">
        <f t="shared" ref="W203:AA203" si="846">IF($L203&lt;=W$8,1,0)</f>
        <v>1</v>
      </c>
      <c r="X203" s="24">
        <f>ROUND(INDEX($C$2:$C$5,MATCH($E203,$B$2:$B$5,0))*$F203/SUMIFS($F:$F,$E:$E,$E203,$B:$B,$B203,W:W,1)*IF(B203=$B$10,0.9,1),0)</f>
        <v>750</v>
      </c>
      <c r="Y203" s="24">
        <f t="shared" si="846"/>
        <v>1</v>
      </c>
      <c r="Z203" s="24">
        <f>ROUND(INDEX($C$2:$C$5,MATCH($E203,$B$2:$B$5,0))*$G203/SUMIFS($G:$G,$E:$E,$E203,$B:$B,$B203,Y:Y,1)*IF(B203=$B$10,0.9,1),0)</f>
        <v>750</v>
      </c>
      <c r="AA203" s="24">
        <f t="shared" si="846"/>
        <v>1</v>
      </c>
      <c r="AB203" s="24">
        <f>ROUND(INDEX($C$2:$C$5,MATCH($E203,$B$2:$B$5,0))*$H203/SUMIFS($H:$H,$E:$E,$E203,$B:$B,$B203,AA:AA,1)*IF(B203=$B$10,0.9,1),0)</f>
        <v>750</v>
      </c>
      <c r="AC203" s="24">
        <f t="shared" ref="AC203:AG203" si="847">IF($L203&lt;=AC$8,1,0)</f>
        <v>1</v>
      </c>
      <c r="AD203" s="24">
        <f>ROUND(INDEX($C$2:$C$5,MATCH($E203,$B$2:$B$5,0))*$F203/SUMIFS($F:$F,$E:$E,$E203,$B:$B,$B203,AC:AC,1)*IF(B203=$B$10,0.9,1),0)</f>
        <v>750</v>
      </c>
      <c r="AE203" s="24">
        <f t="shared" si="847"/>
        <v>1</v>
      </c>
      <c r="AF203" s="24">
        <f>ROUND(INDEX($C$2:$C$5,MATCH($E203,$B$2:$B$5,0))*$G203/SUMIFS($G:$G,$E:$E,$E203,$B:$B,$B203,AE:AE,1)*IF(B203=$B$10,0.9,1),0)</f>
        <v>750</v>
      </c>
      <c r="AG203" s="24">
        <f t="shared" si="847"/>
        <v>1</v>
      </c>
      <c r="AH203" s="24">
        <f>ROUND(INDEX($C$2:$C$5,MATCH($E203,$B$2:$B$5,0))*$H203/SUMIFS($H:$H,$E:$E,$E203,$B:$B,$B203,AG:AG,1)*IF(B203=$B$10,0.9,1),0)</f>
        <v>750</v>
      </c>
      <c r="AI203" s="24">
        <f t="shared" ref="AI203:AM203" si="848">IF($L203&lt;=AI$8,1,0)</f>
        <v>1</v>
      </c>
      <c r="AJ203" s="24">
        <f>ROUND(INDEX($C$2:$C$5,MATCH($E203,$B$2:$B$5,0))*$F203/SUMIFS($F:$F,$E:$E,$E203,$B:$B,$B203,AI:AI,1)*IF(B203=$B$10,0.9,1),0)</f>
        <v>750</v>
      </c>
      <c r="AK203" s="24">
        <f t="shared" si="848"/>
        <v>1</v>
      </c>
      <c r="AL203" s="24">
        <f>ROUND(INDEX($C$2:$C$5,MATCH($E203,$B$2:$B$5,0))*$G203/SUMIFS($G:$G,$E:$E,$E203,$B:$B,$B203,AK:AK,1)*IF(B203=$B$10,0.9,1),0)</f>
        <v>750</v>
      </c>
      <c r="AM203" s="24">
        <f t="shared" si="848"/>
        <v>1</v>
      </c>
      <c r="AN203" s="24">
        <f>ROUND(INDEX($C$2:$C$5,MATCH($E203,$B$2:$B$5,0))*$H203/SUMIFS($H:$H,$E:$E,$E203,$B:$B,$B203,AM:AM,1)*IF(B203=$B$10,0.9,1),0)</f>
        <v>750</v>
      </c>
      <c r="AX203" s="4" t="str">
        <f t="shared" si="830"/>
        <v>1,750</v>
      </c>
      <c r="AY203" s="4" t="str">
        <f t="shared" si="831"/>
        <v>1,900</v>
      </c>
      <c r="AZ203" s="4" t="str">
        <f t="shared" si="832"/>
        <v>1,900</v>
      </c>
      <c r="BA203" s="4" t="str">
        <f t="shared" si="833"/>
        <v>1,900</v>
      </c>
      <c r="BB203" s="4" t="str">
        <f t="shared" si="834"/>
        <v>1,750</v>
      </c>
      <c r="BC203" s="4" t="str">
        <f t="shared" si="835"/>
        <v>1,750</v>
      </c>
      <c r="BD203" s="4" t="str">
        <f t="shared" si="836"/>
        <v>1,750</v>
      </c>
      <c r="BE203" s="4" t="str">
        <f t="shared" si="837"/>
        <v>1,750</v>
      </c>
      <c r="BF203" s="4" t="str">
        <f t="shared" si="838"/>
        <v>1,750</v>
      </c>
      <c r="BG203" s="4" t="str">
        <f t="shared" si="839"/>
        <v>1,750</v>
      </c>
      <c r="BH203" s="4" t="str">
        <f t="shared" si="840"/>
        <v>1,750</v>
      </c>
      <c r="BI203" s="4" t="str">
        <f t="shared" si="841"/>
        <v>1,750</v>
      </c>
      <c r="BJ203" s="4" t="str">
        <f t="shared" si="842"/>
        <v>1,750</v>
      </c>
    </row>
    <row r="204" customHeight="1" spans="1:62">
      <c r="A204" s="35">
        <v>1221</v>
      </c>
      <c r="B204" s="61" t="s">
        <v>98</v>
      </c>
      <c r="C204" s="40" t="s">
        <v>218</v>
      </c>
      <c r="D204" s="46" t="s">
        <v>366</v>
      </c>
      <c r="E204" s="45">
        <v>3</v>
      </c>
      <c r="F204" s="35">
        <v>1</v>
      </c>
      <c r="G204" s="35">
        <f t="shared" si="843"/>
        <v>1</v>
      </c>
      <c r="H204" s="35">
        <v>1</v>
      </c>
      <c r="I204" s="35">
        <v>1</v>
      </c>
      <c r="J204" s="35">
        <v>1</v>
      </c>
      <c r="K204" s="35">
        <v>1</v>
      </c>
      <c r="L204" s="35">
        <v>1</v>
      </c>
      <c r="M204" s="35" t="s">
        <v>136</v>
      </c>
      <c r="N204">
        <f t="shared" si="844"/>
        <v>1500</v>
      </c>
      <c r="O204" s="35">
        <v>1</v>
      </c>
      <c r="P204" s="24">
        <f>ROUND(INDEX($C$2:$C$5,MATCH($E204,$B$2:$B$5,0))*$F204/SUMIFS($F:$F,$E:$E,$E204,$B:$B,$B204,O:O,1)*IF(B204=$B$10,0.9,1),0)</f>
        <v>250</v>
      </c>
      <c r="Q204" s="24">
        <f t="shared" ref="Q204:U204" si="849">IF($L204&lt;=Q$8,1,0)</f>
        <v>1</v>
      </c>
      <c r="R204" s="24">
        <f>ROUND(INDEX($C$2:$C$5,MATCH($E204,$B$2:$B$5,0))*$I204/SUMIFS($I:$I,$E:$E,$E204,$B:$B,$B204,Q:Q,1)*IF(B204=$B$10,0.9,1),0)</f>
        <v>300</v>
      </c>
      <c r="S204" s="24">
        <f t="shared" si="849"/>
        <v>1</v>
      </c>
      <c r="T204" s="24">
        <f>ROUND(INDEX($C$2:$C$5,MATCH($E204,$B$2:$B$5,0))*$J204/SUMIFS($J:$J,$E:$E,$E204,$B:$B,$B204,S:S,1)*IF(B204=$B$10,0.9,1),0)</f>
        <v>300</v>
      </c>
      <c r="U204" s="24">
        <f t="shared" si="849"/>
        <v>1</v>
      </c>
      <c r="V204" s="24">
        <f>ROUND(INDEX($C$2:$C$5,MATCH($E204,$B$2:$B$5,0))*$K204/SUMIFS($K:$K,$E:$E,$E204,$B:$B,$B204,U:U,1)*IF(B204=$B$10,0.9,1),0)</f>
        <v>300</v>
      </c>
      <c r="W204" s="24">
        <f t="shared" ref="W204:AA204" si="850">IF($L204&lt;=W$8,1,0)</f>
        <v>1</v>
      </c>
      <c r="X204" s="24">
        <f>ROUND(INDEX($C$2:$C$5,MATCH($E204,$B$2:$B$5,0))*$F204/SUMIFS($F:$F,$E:$E,$E204,$B:$B,$B204,W:W,1)*IF(B204=$B$10,0.9,1),0)</f>
        <v>250</v>
      </c>
      <c r="Y204" s="24">
        <f t="shared" si="850"/>
        <v>1</v>
      </c>
      <c r="Z204" s="24">
        <f>ROUND(INDEX($C$2:$C$5,MATCH($E204,$B$2:$B$5,0))*$G204/SUMIFS($G:$G,$E:$E,$E204,$B:$B,$B204,Y:Y,1)*IF(B204=$B$10,0.9,1),0)</f>
        <v>250</v>
      </c>
      <c r="AA204" s="24">
        <f t="shared" si="850"/>
        <v>1</v>
      </c>
      <c r="AB204" s="24">
        <f>ROUND(INDEX($C$2:$C$5,MATCH($E204,$B$2:$B$5,0))*$H204/SUMIFS($H:$H,$E:$E,$E204,$B:$B,$B204,AA:AA,1)*IF(B204=$B$10,0.9,1),0)</f>
        <v>250</v>
      </c>
      <c r="AC204" s="24">
        <f t="shared" ref="AC204:AG204" si="851">IF($L204&lt;=AC$8,1,0)</f>
        <v>1</v>
      </c>
      <c r="AD204" s="24">
        <f>ROUND(INDEX($C$2:$C$5,MATCH($E204,$B$2:$B$5,0))*$F204/SUMIFS($F:$F,$E:$E,$E204,$B:$B,$B204,AC:AC,1)*IF(B204=$B$10,0.9,1),0)</f>
        <v>250</v>
      </c>
      <c r="AE204" s="24">
        <f t="shared" si="851"/>
        <v>1</v>
      </c>
      <c r="AF204" s="24">
        <f>ROUND(INDEX($C$2:$C$5,MATCH($E204,$B$2:$B$5,0))*$G204/SUMIFS($G:$G,$E:$E,$E204,$B:$B,$B204,AE:AE,1)*IF(B204=$B$10,0.9,1),0)</f>
        <v>250</v>
      </c>
      <c r="AG204" s="24">
        <f t="shared" si="851"/>
        <v>1</v>
      </c>
      <c r="AH204" s="24">
        <f>ROUND(INDEX($C$2:$C$5,MATCH($E204,$B$2:$B$5,0))*$H204/SUMIFS($H:$H,$E:$E,$E204,$B:$B,$B204,AG:AG,1)*IF(B204=$B$10,0.9,1),0)</f>
        <v>250</v>
      </c>
      <c r="AI204" s="24">
        <f t="shared" ref="AI204:AM204" si="852">IF($L204&lt;=AI$8,1,0)</f>
        <v>1</v>
      </c>
      <c r="AJ204" s="24">
        <f>ROUND(INDEX($C$2:$C$5,MATCH($E204,$B$2:$B$5,0))*$F204/SUMIFS($F:$F,$E:$E,$E204,$B:$B,$B204,AI:AI,1)*IF(B204=$B$10,0.9,1),0)</f>
        <v>250</v>
      </c>
      <c r="AK204" s="24">
        <f t="shared" si="852"/>
        <v>1</v>
      </c>
      <c r="AL204" s="24">
        <f>ROUND(INDEX($C$2:$C$5,MATCH($E204,$B$2:$B$5,0))*$G204/SUMIFS($G:$G,$E:$E,$E204,$B:$B,$B204,AK:AK,1)*IF(B204=$B$10,0.9,1),0)</f>
        <v>250</v>
      </c>
      <c r="AM204" s="24">
        <f t="shared" si="852"/>
        <v>1</v>
      </c>
      <c r="AN204" s="24">
        <f>ROUND(INDEX($C$2:$C$5,MATCH($E204,$B$2:$B$5,0))*$H204/SUMIFS($H:$H,$E:$E,$E204,$B:$B,$B204,AM:AM,1)*IF(B204=$B$10,0.9,1),0)</f>
        <v>250</v>
      </c>
      <c r="AX204" s="4" t="str">
        <f t="shared" si="830"/>
        <v>1,250</v>
      </c>
      <c r="AY204" s="4" t="str">
        <f t="shared" si="831"/>
        <v>1,300</v>
      </c>
      <c r="AZ204" s="4" t="str">
        <f t="shared" si="832"/>
        <v>1,300</v>
      </c>
      <c r="BA204" s="4" t="str">
        <f t="shared" si="833"/>
        <v>1,300</v>
      </c>
      <c r="BB204" s="4" t="str">
        <f t="shared" si="834"/>
        <v>1,250</v>
      </c>
      <c r="BC204" s="4" t="str">
        <f t="shared" si="835"/>
        <v>1,250</v>
      </c>
      <c r="BD204" s="4" t="str">
        <f t="shared" si="836"/>
        <v>1,250</v>
      </c>
      <c r="BE204" s="4" t="str">
        <f t="shared" si="837"/>
        <v>1,250</v>
      </c>
      <c r="BF204" s="4" t="str">
        <f t="shared" si="838"/>
        <v>1,250</v>
      </c>
      <c r="BG204" s="4" t="str">
        <f t="shared" si="839"/>
        <v>1,250</v>
      </c>
      <c r="BH204" s="4" t="str">
        <f t="shared" si="840"/>
        <v>1,250</v>
      </c>
      <c r="BI204" s="4" t="str">
        <f t="shared" si="841"/>
        <v>1,250</v>
      </c>
      <c r="BJ204" s="4" t="str">
        <f t="shared" si="842"/>
        <v>1,250</v>
      </c>
    </row>
    <row r="205" customHeight="1" spans="1:62">
      <c r="A205" s="35">
        <v>1222</v>
      </c>
      <c r="B205" s="61" t="s">
        <v>98</v>
      </c>
      <c r="C205" s="40" t="s">
        <v>218</v>
      </c>
      <c r="D205" s="46" t="s">
        <v>367</v>
      </c>
      <c r="E205" s="45">
        <v>3</v>
      </c>
      <c r="F205" s="35">
        <v>1</v>
      </c>
      <c r="G205" s="35">
        <f t="shared" si="843"/>
        <v>1</v>
      </c>
      <c r="H205" s="35">
        <v>1</v>
      </c>
      <c r="I205" s="35">
        <v>1</v>
      </c>
      <c r="J205" s="35">
        <v>1</v>
      </c>
      <c r="K205" s="35">
        <v>1</v>
      </c>
      <c r="L205" s="35">
        <v>1</v>
      </c>
      <c r="M205" s="35"/>
      <c r="N205">
        <f t="shared" si="844"/>
        <v>1500</v>
      </c>
      <c r="O205" s="35">
        <v>1</v>
      </c>
      <c r="P205" s="24">
        <f>ROUND(INDEX($C$2:$C$5,MATCH($E205,$B$2:$B$5,0))*$F205/SUMIFS($F:$F,$E:$E,$E205,$B:$B,$B205,O:O,1)*IF(B205=$B$10,0.9,1),0)</f>
        <v>250</v>
      </c>
      <c r="Q205" s="24">
        <f t="shared" ref="Q205:U205" si="853">IF($L205&lt;=Q$8,1,0)</f>
        <v>1</v>
      </c>
      <c r="R205" s="24">
        <f>ROUND(INDEX($C$2:$C$5,MATCH($E205,$B$2:$B$5,0))*$I205/SUMIFS($I:$I,$E:$E,$E205,$B:$B,$B205,Q:Q,1)*IF(B205=$B$10,0.9,1),0)</f>
        <v>300</v>
      </c>
      <c r="S205" s="24">
        <f t="shared" si="853"/>
        <v>1</v>
      </c>
      <c r="T205" s="24">
        <f>ROUND(INDEX($C$2:$C$5,MATCH($E205,$B$2:$B$5,0))*$J205/SUMIFS($J:$J,$E:$E,$E205,$B:$B,$B205,S:S,1)*IF(B205=$B$10,0.9,1),0)</f>
        <v>300</v>
      </c>
      <c r="U205" s="24">
        <f t="shared" si="853"/>
        <v>1</v>
      </c>
      <c r="V205" s="24">
        <f>ROUND(INDEX($C$2:$C$5,MATCH($E205,$B$2:$B$5,0))*$K205/SUMIFS($K:$K,$E:$E,$E205,$B:$B,$B205,U:U,1)*IF(B205=$B$10,0.9,1),0)</f>
        <v>300</v>
      </c>
      <c r="W205" s="24">
        <f t="shared" ref="W205:AA205" si="854">IF($L205&lt;=W$8,1,0)</f>
        <v>1</v>
      </c>
      <c r="X205" s="24">
        <f>ROUND(INDEX($C$2:$C$5,MATCH($E205,$B$2:$B$5,0))*$F205/SUMIFS($F:$F,$E:$E,$E205,$B:$B,$B205,W:W,1)*IF(B205=$B$10,0.9,1),0)</f>
        <v>250</v>
      </c>
      <c r="Y205" s="24">
        <f t="shared" si="854"/>
        <v>1</v>
      </c>
      <c r="Z205" s="24">
        <f>ROUND(INDEX($C$2:$C$5,MATCH($E205,$B$2:$B$5,0))*$G205/SUMIFS($G:$G,$E:$E,$E205,$B:$B,$B205,Y:Y,1)*IF(B205=$B$10,0.9,1),0)</f>
        <v>250</v>
      </c>
      <c r="AA205" s="24">
        <f t="shared" si="854"/>
        <v>1</v>
      </c>
      <c r="AB205" s="24">
        <f>ROUND(INDEX($C$2:$C$5,MATCH($E205,$B$2:$B$5,0))*$H205/SUMIFS($H:$H,$E:$E,$E205,$B:$B,$B205,AA:AA,1)*IF(B205=$B$10,0.9,1),0)</f>
        <v>250</v>
      </c>
      <c r="AC205" s="24">
        <f t="shared" ref="AC205:AG205" si="855">IF($L205&lt;=AC$8,1,0)</f>
        <v>1</v>
      </c>
      <c r="AD205" s="24">
        <f>ROUND(INDEX($C$2:$C$5,MATCH($E205,$B$2:$B$5,0))*$F205/SUMIFS($F:$F,$E:$E,$E205,$B:$B,$B205,AC:AC,1)*IF(B205=$B$10,0.9,1),0)</f>
        <v>250</v>
      </c>
      <c r="AE205" s="24">
        <f t="shared" si="855"/>
        <v>1</v>
      </c>
      <c r="AF205" s="24">
        <f>ROUND(INDEX($C$2:$C$5,MATCH($E205,$B$2:$B$5,0))*$G205/SUMIFS($G:$G,$E:$E,$E205,$B:$B,$B205,AE:AE,1)*IF(B205=$B$10,0.9,1),0)</f>
        <v>250</v>
      </c>
      <c r="AG205" s="24">
        <f t="shared" si="855"/>
        <v>1</v>
      </c>
      <c r="AH205" s="24">
        <f>ROUND(INDEX($C$2:$C$5,MATCH($E205,$B$2:$B$5,0))*$H205/SUMIFS($H:$H,$E:$E,$E205,$B:$B,$B205,AG:AG,1)*IF(B205=$B$10,0.9,1),0)</f>
        <v>250</v>
      </c>
      <c r="AI205" s="24">
        <f t="shared" ref="AI205:AM205" si="856">IF($L205&lt;=AI$8,1,0)</f>
        <v>1</v>
      </c>
      <c r="AJ205" s="24">
        <f>ROUND(INDEX($C$2:$C$5,MATCH($E205,$B$2:$B$5,0))*$F205/SUMIFS($F:$F,$E:$E,$E205,$B:$B,$B205,AI:AI,1)*IF(B205=$B$10,0.9,1),0)</f>
        <v>250</v>
      </c>
      <c r="AK205" s="24">
        <f t="shared" si="856"/>
        <v>1</v>
      </c>
      <c r="AL205" s="24">
        <f>ROUND(INDEX($C$2:$C$5,MATCH($E205,$B$2:$B$5,0))*$G205/SUMIFS($G:$G,$E:$E,$E205,$B:$B,$B205,AK:AK,1)*IF(B205=$B$10,0.9,1),0)</f>
        <v>250</v>
      </c>
      <c r="AM205" s="24">
        <f t="shared" si="856"/>
        <v>1</v>
      </c>
      <c r="AN205" s="24">
        <f>ROUND(INDEX($C$2:$C$5,MATCH($E205,$B$2:$B$5,0))*$H205/SUMIFS($H:$H,$E:$E,$E205,$B:$B,$B205,AM:AM,1)*IF(B205=$B$10,0.9,1),0)</f>
        <v>250</v>
      </c>
      <c r="AX205" s="4" t="str">
        <f t="shared" si="830"/>
        <v>1,250</v>
      </c>
      <c r="AY205" s="4" t="str">
        <f t="shared" si="831"/>
        <v>1,300</v>
      </c>
      <c r="AZ205" s="4" t="str">
        <f t="shared" si="832"/>
        <v>1,300</v>
      </c>
      <c r="BA205" s="4" t="str">
        <f t="shared" si="833"/>
        <v>1,300</v>
      </c>
      <c r="BB205" s="4" t="str">
        <f t="shared" si="834"/>
        <v>1,250</v>
      </c>
      <c r="BC205" s="4" t="str">
        <f t="shared" si="835"/>
        <v>1,250</v>
      </c>
      <c r="BD205" s="4" t="str">
        <f t="shared" si="836"/>
        <v>1,250</v>
      </c>
      <c r="BE205" s="4" t="str">
        <f t="shared" si="837"/>
        <v>1,250</v>
      </c>
      <c r="BF205" s="4" t="str">
        <f t="shared" si="838"/>
        <v>1,250</v>
      </c>
      <c r="BG205" s="4" t="str">
        <f t="shared" si="839"/>
        <v>1,250</v>
      </c>
      <c r="BH205" s="4" t="str">
        <f t="shared" si="840"/>
        <v>1,250</v>
      </c>
      <c r="BI205" s="4" t="str">
        <f t="shared" si="841"/>
        <v>1,250</v>
      </c>
      <c r="BJ205" s="4" t="str">
        <f t="shared" si="842"/>
        <v>1,250</v>
      </c>
    </row>
    <row r="206" customHeight="1" spans="1:62">
      <c r="A206" s="35">
        <v>1223</v>
      </c>
      <c r="B206" s="61" t="s">
        <v>98</v>
      </c>
      <c r="C206" s="40" t="s">
        <v>218</v>
      </c>
      <c r="D206" s="46" t="s">
        <v>368</v>
      </c>
      <c r="E206" s="45">
        <v>3</v>
      </c>
      <c r="F206" s="35">
        <v>1</v>
      </c>
      <c r="G206" s="35">
        <f t="shared" si="843"/>
        <v>1</v>
      </c>
      <c r="H206" s="35">
        <v>1</v>
      </c>
      <c r="I206" s="35">
        <v>1</v>
      </c>
      <c r="J206" s="35">
        <v>1</v>
      </c>
      <c r="K206" s="35">
        <v>1</v>
      </c>
      <c r="L206" s="35">
        <v>1</v>
      </c>
      <c r="M206" s="35"/>
      <c r="N206">
        <f t="shared" si="844"/>
        <v>1500</v>
      </c>
      <c r="O206" s="35">
        <v>1</v>
      </c>
      <c r="P206" s="24">
        <f>ROUND(INDEX($C$2:$C$5,MATCH($E206,$B$2:$B$5,0))*$F206/SUMIFS($F:$F,$E:$E,$E206,$B:$B,$B206,O:O,1)*IF(B206=$B$10,0.9,1),0)</f>
        <v>250</v>
      </c>
      <c r="Q206" s="24">
        <f t="shared" ref="Q206:U206" si="857">IF($L206&lt;=Q$8,1,0)</f>
        <v>1</v>
      </c>
      <c r="R206" s="24">
        <f>ROUND(INDEX($C$2:$C$5,MATCH($E206,$B$2:$B$5,0))*$I206/SUMIFS($I:$I,$E:$E,$E206,$B:$B,$B206,Q:Q,1)*IF(B206=$B$10,0.9,1),0)</f>
        <v>300</v>
      </c>
      <c r="S206" s="24">
        <f t="shared" si="857"/>
        <v>1</v>
      </c>
      <c r="T206" s="24">
        <f>ROUND(INDEX($C$2:$C$5,MATCH($E206,$B$2:$B$5,0))*$J206/SUMIFS($J:$J,$E:$E,$E206,$B:$B,$B206,S:S,1)*IF(B206=$B$10,0.9,1),0)</f>
        <v>300</v>
      </c>
      <c r="U206" s="24">
        <f t="shared" si="857"/>
        <v>1</v>
      </c>
      <c r="V206" s="24">
        <f>ROUND(INDEX($C$2:$C$5,MATCH($E206,$B$2:$B$5,0))*$K206/SUMIFS($K:$K,$E:$E,$E206,$B:$B,$B206,U:U,1)*IF(B206=$B$10,0.9,1),0)</f>
        <v>300</v>
      </c>
      <c r="W206" s="24">
        <f t="shared" ref="W206:AA206" si="858">IF($L206&lt;=W$8,1,0)</f>
        <v>1</v>
      </c>
      <c r="X206" s="24">
        <f>ROUND(INDEX($C$2:$C$5,MATCH($E206,$B$2:$B$5,0))*$F206/SUMIFS($F:$F,$E:$E,$E206,$B:$B,$B206,W:W,1)*IF(B206=$B$10,0.9,1),0)</f>
        <v>250</v>
      </c>
      <c r="Y206" s="24">
        <f t="shared" si="858"/>
        <v>1</v>
      </c>
      <c r="Z206" s="24">
        <f>ROUND(INDEX($C$2:$C$5,MATCH($E206,$B$2:$B$5,0))*$G206/SUMIFS($G:$G,$E:$E,$E206,$B:$B,$B206,Y:Y,1)*IF(B206=$B$10,0.9,1),0)</f>
        <v>250</v>
      </c>
      <c r="AA206" s="24">
        <f t="shared" si="858"/>
        <v>1</v>
      </c>
      <c r="AB206" s="24">
        <f>ROUND(INDEX($C$2:$C$5,MATCH($E206,$B$2:$B$5,0))*$H206/SUMIFS($H:$H,$E:$E,$E206,$B:$B,$B206,AA:AA,1)*IF(B206=$B$10,0.9,1),0)</f>
        <v>250</v>
      </c>
      <c r="AC206" s="24">
        <f t="shared" ref="AC206:AG206" si="859">IF($L206&lt;=AC$8,1,0)</f>
        <v>1</v>
      </c>
      <c r="AD206" s="24">
        <f>ROUND(INDEX($C$2:$C$5,MATCH($E206,$B$2:$B$5,0))*$F206/SUMIFS($F:$F,$E:$E,$E206,$B:$B,$B206,AC:AC,1)*IF(B206=$B$10,0.9,1),0)</f>
        <v>250</v>
      </c>
      <c r="AE206" s="24">
        <f t="shared" si="859"/>
        <v>1</v>
      </c>
      <c r="AF206" s="24">
        <f>ROUND(INDEX($C$2:$C$5,MATCH($E206,$B$2:$B$5,0))*$G206/SUMIFS($G:$G,$E:$E,$E206,$B:$B,$B206,AE:AE,1)*IF(B206=$B$10,0.9,1),0)</f>
        <v>250</v>
      </c>
      <c r="AG206" s="24">
        <f t="shared" si="859"/>
        <v>1</v>
      </c>
      <c r="AH206" s="24">
        <f>ROUND(INDEX($C$2:$C$5,MATCH($E206,$B$2:$B$5,0))*$H206/SUMIFS($H:$H,$E:$E,$E206,$B:$B,$B206,AG:AG,1)*IF(B206=$B$10,0.9,1),0)</f>
        <v>250</v>
      </c>
      <c r="AI206" s="24">
        <f t="shared" ref="AI206:AM206" si="860">IF($L206&lt;=AI$8,1,0)</f>
        <v>1</v>
      </c>
      <c r="AJ206" s="24">
        <f>ROUND(INDEX($C$2:$C$5,MATCH($E206,$B$2:$B$5,0))*$F206/SUMIFS($F:$F,$E:$E,$E206,$B:$B,$B206,AI:AI,1)*IF(B206=$B$10,0.9,1),0)</f>
        <v>250</v>
      </c>
      <c r="AK206" s="24">
        <f t="shared" si="860"/>
        <v>1</v>
      </c>
      <c r="AL206" s="24">
        <f>ROUND(INDEX($C$2:$C$5,MATCH($E206,$B$2:$B$5,0))*$G206/SUMIFS($G:$G,$E:$E,$E206,$B:$B,$B206,AK:AK,1)*IF(B206=$B$10,0.9,1),0)</f>
        <v>250</v>
      </c>
      <c r="AM206" s="24">
        <f t="shared" si="860"/>
        <v>1</v>
      </c>
      <c r="AN206" s="24">
        <f>ROUND(INDEX($C$2:$C$5,MATCH($E206,$B$2:$B$5,0))*$H206/SUMIFS($H:$H,$E:$E,$E206,$B:$B,$B206,AM:AM,1)*IF(B206=$B$10,0.9,1),0)</f>
        <v>250</v>
      </c>
      <c r="AX206" s="4" t="str">
        <f t="shared" si="830"/>
        <v>1,250</v>
      </c>
      <c r="AY206" s="4" t="str">
        <f t="shared" si="831"/>
        <v>1,300</v>
      </c>
      <c r="AZ206" s="4" t="str">
        <f t="shared" si="832"/>
        <v>1,300</v>
      </c>
      <c r="BA206" s="4" t="str">
        <f t="shared" si="833"/>
        <v>1,300</v>
      </c>
      <c r="BB206" s="4" t="str">
        <f t="shared" si="834"/>
        <v>1,250</v>
      </c>
      <c r="BC206" s="4" t="str">
        <f t="shared" si="835"/>
        <v>1,250</v>
      </c>
      <c r="BD206" s="4" t="str">
        <f t="shared" si="836"/>
        <v>1,250</v>
      </c>
      <c r="BE206" s="4" t="str">
        <f t="shared" si="837"/>
        <v>1,250</v>
      </c>
      <c r="BF206" s="4" t="str">
        <f t="shared" si="838"/>
        <v>1,250</v>
      </c>
      <c r="BG206" s="4" t="str">
        <f t="shared" si="839"/>
        <v>1,250</v>
      </c>
      <c r="BH206" s="4" t="str">
        <f t="shared" si="840"/>
        <v>1,250</v>
      </c>
      <c r="BI206" s="4" t="str">
        <f t="shared" si="841"/>
        <v>1,250</v>
      </c>
      <c r="BJ206" s="4" t="str">
        <f t="shared" si="842"/>
        <v>1,250</v>
      </c>
    </row>
    <row r="207" customHeight="1" spans="1:62">
      <c r="A207" s="35">
        <v>1224</v>
      </c>
      <c r="B207" s="61" t="s">
        <v>98</v>
      </c>
      <c r="C207" s="40" t="s">
        <v>218</v>
      </c>
      <c r="D207" s="46" t="s">
        <v>369</v>
      </c>
      <c r="E207" s="49">
        <v>3</v>
      </c>
      <c r="F207" s="35">
        <v>1</v>
      </c>
      <c r="G207" s="35">
        <f t="shared" si="843"/>
        <v>1</v>
      </c>
      <c r="H207" s="35">
        <v>1</v>
      </c>
      <c r="I207" s="35">
        <v>1</v>
      </c>
      <c r="J207" s="35">
        <v>1</v>
      </c>
      <c r="K207" s="35">
        <v>1</v>
      </c>
      <c r="L207" s="35">
        <v>1</v>
      </c>
      <c r="M207" s="35"/>
      <c r="N207">
        <f t="shared" si="844"/>
        <v>1500</v>
      </c>
      <c r="O207" s="35">
        <v>1</v>
      </c>
      <c r="P207" s="24">
        <f>ROUND(INDEX($C$2:$C$5,MATCH($E207,$B$2:$B$5,0))*$F207/SUMIFS($F:$F,$E:$E,$E207,$B:$B,$B207,O:O,1)*IF(B207=$B$10,0.9,1),0)</f>
        <v>250</v>
      </c>
      <c r="Q207" s="24">
        <f t="shared" ref="Q207:U207" si="861">IF($L207&lt;=Q$8,1,0)</f>
        <v>1</v>
      </c>
      <c r="R207" s="24">
        <f>ROUND(INDEX($C$2:$C$5,MATCH($E207,$B$2:$B$5,0))*$I207/SUMIFS($I:$I,$E:$E,$E207,$B:$B,$B207,Q:Q,1)*IF(B207=$B$10,0.9,1),0)</f>
        <v>300</v>
      </c>
      <c r="S207" s="24">
        <f t="shared" si="861"/>
        <v>1</v>
      </c>
      <c r="T207" s="24">
        <f>ROUND(INDEX($C$2:$C$5,MATCH($E207,$B$2:$B$5,0))*$J207/SUMIFS($J:$J,$E:$E,$E207,$B:$B,$B207,S:S,1)*IF(B207=$B$10,0.9,1),0)</f>
        <v>300</v>
      </c>
      <c r="U207" s="24">
        <f t="shared" si="861"/>
        <v>1</v>
      </c>
      <c r="V207" s="24">
        <f>ROUND(INDEX($C$2:$C$5,MATCH($E207,$B$2:$B$5,0))*$K207/SUMIFS($K:$K,$E:$E,$E207,$B:$B,$B207,U:U,1)*IF(B207=$B$10,0.9,1),0)</f>
        <v>300</v>
      </c>
      <c r="W207" s="24">
        <f t="shared" ref="W207:AA207" si="862">IF($L207&lt;=W$8,1,0)</f>
        <v>1</v>
      </c>
      <c r="X207" s="24">
        <f>ROUND(INDEX($C$2:$C$5,MATCH($E207,$B$2:$B$5,0))*$F207/SUMIFS($F:$F,$E:$E,$E207,$B:$B,$B207,W:W,1)*IF(B207=$B$10,0.9,1),0)</f>
        <v>250</v>
      </c>
      <c r="Y207" s="24">
        <f t="shared" si="862"/>
        <v>1</v>
      </c>
      <c r="Z207" s="24">
        <f>ROUND(INDEX($C$2:$C$5,MATCH($E207,$B$2:$B$5,0))*$G207/SUMIFS($G:$G,$E:$E,$E207,$B:$B,$B207,Y:Y,1)*IF(B207=$B$10,0.9,1),0)</f>
        <v>250</v>
      </c>
      <c r="AA207" s="24">
        <f t="shared" si="862"/>
        <v>1</v>
      </c>
      <c r="AB207" s="24">
        <f>ROUND(INDEX($C$2:$C$5,MATCH($E207,$B$2:$B$5,0))*$H207/SUMIFS($H:$H,$E:$E,$E207,$B:$B,$B207,AA:AA,1)*IF(B207=$B$10,0.9,1),0)</f>
        <v>250</v>
      </c>
      <c r="AC207" s="24">
        <f t="shared" ref="AC207:AG207" si="863">IF($L207&lt;=AC$8,1,0)</f>
        <v>1</v>
      </c>
      <c r="AD207" s="24">
        <f>ROUND(INDEX($C$2:$C$5,MATCH($E207,$B$2:$B$5,0))*$F207/SUMIFS($F:$F,$E:$E,$E207,$B:$B,$B207,AC:AC,1)*IF(B207=$B$10,0.9,1),0)</f>
        <v>250</v>
      </c>
      <c r="AE207" s="24">
        <f t="shared" si="863"/>
        <v>1</v>
      </c>
      <c r="AF207" s="24">
        <f>ROUND(INDEX($C$2:$C$5,MATCH($E207,$B$2:$B$5,0))*$G207/SUMIFS($G:$G,$E:$E,$E207,$B:$B,$B207,AE:AE,1)*IF(B207=$B$10,0.9,1),0)</f>
        <v>250</v>
      </c>
      <c r="AG207" s="24">
        <f t="shared" si="863"/>
        <v>1</v>
      </c>
      <c r="AH207" s="24">
        <f>ROUND(INDEX($C$2:$C$5,MATCH($E207,$B$2:$B$5,0))*$H207/SUMIFS($H:$H,$E:$E,$E207,$B:$B,$B207,AG:AG,1)*IF(B207=$B$10,0.9,1),0)</f>
        <v>250</v>
      </c>
      <c r="AI207" s="24">
        <f t="shared" ref="AI207:AM207" si="864">IF($L207&lt;=AI$8,1,0)</f>
        <v>1</v>
      </c>
      <c r="AJ207" s="24">
        <f>ROUND(INDEX($C$2:$C$5,MATCH($E207,$B$2:$B$5,0))*$F207/SUMIFS($F:$F,$E:$E,$E207,$B:$B,$B207,AI:AI,1)*IF(B207=$B$10,0.9,1),0)</f>
        <v>250</v>
      </c>
      <c r="AK207" s="24">
        <f t="shared" si="864"/>
        <v>1</v>
      </c>
      <c r="AL207" s="24">
        <f>ROUND(INDEX($C$2:$C$5,MATCH($E207,$B$2:$B$5,0))*$G207/SUMIFS($G:$G,$E:$E,$E207,$B:$B,$B207,AK:AK,1)*IF(B207=$B$10,0.9,1),0)</f>
        <v>250</v>
      </c>
      <c r="AM207" s="24">
        <f t="shared" si="864"/>
        <v>1</v>
      </c>
      <c r="AN207" s="24">
        <f>ROUND(INDEX($C$2:$C$5,MATCH($E207,$B$2:$B$5,0))*$H207/SUMIFS($H:$H,$E:$E,$E207,$B:$B,$B207,AM:AM,1)*IF(B207=$B$10,0.9,1),0)</f>
        <v>250</v>
      </c>
      <c r="AX207" s="4" t="str">
        <f t="shared" si="830"/>
        <v>1,250</v>
      </c>
      <c r="AY207" s="4" t="str">
        <f t="shared" si="831"/>
        <v>1,300</v>
      </c>
      <c r="AZ207" s="4" t="str">
        <f t="shared" si="832"/>
        <v>1,300</v>
      </c>
      <c r="BA207" s="4" t="str">
        <f t="shared" si="833"/>
        <v>1,300</v>
      </c>
      <c r="BB207" s="4" t="str">
        <f t="shared" si="834"/>
        <v>1,250</v>
      </c>
      <c r="BC207" s="4" t="str">
        <f t="shared" si="835"/>
        <v>1,250</v>
      </c>
      <c r="BD207" s="4" t="str">
        <f t="shared" si="836"/>
        <v>1,250</v>
      </c>
      <c r="BE207" s="4" t="str">
        <f t="shared" si="837"/>
        <v>1,250</v>
      </c>
      <c r="BF207" s="4" t="str">
        <f t="shared" si="838"/>
        <v>1,250</v>
      </c>
      <c r="BG207" s="4" t="str">
        <f t="shared" si="839"/>
        <v>1,250</v>
      </c>
      <c r="BH207" s="4" t="str">
        <f t="shared" si="840"/>
        <v>1,250</v>
      </c>
      <c r="BI207" s="4" t="str">
        <f t="shared" si="841"/>
        <v>1,250</v>
      </c>
      <c r="BJ207" s="4" t="str">
        <f t="shared" si="842"/>
        <v>1,250</v>
      </c>
    </row>
    <row r="208" customHeight="1" spans="1:62">
      <c r="A208" s="35">
        <v>1231</v>
      </c>
      <c r="B208" s="61" t="s">
        <v>98</v>
      </c>
      <c r="C208" s="40" t="s">
        <v>218</v>
      </c>
      <c r="D208" s="44" t="s">
        <v>410</v>
      </c>
      <c r="E208" s="49">
        <v>2</v>
      </c>
      <c r="F208" s="35">
        <v>1</v>
      </c>
      <c r="G208" s="35">
        <f t="shared" si="843"/>
        <v>1</v>
      </c>
      <c r="H208" s="35">
        <v>1</v>
      </c>
      <c r="I208" s="35">
        <v>1</v>
      </c>
      <c r="J208" s="35">
        <v>1</v>
      </c>
      <c r="K208" s="35">
        <v>1</v>
      </c>
      <c r="L208" s="35">
        <v>1</v>
      </c>
      <c r="M208" s="35"/>
      <c r="N208">
        <f t="shared" si="844"/>
        <v>4500</v>
      </c>
      <c r="O208" s="35">
        <v>1</v>
      </c>
      <c r="P208" s="24">
        <f>ROUND(INDEX($C$2:$C$5,MATCH($E208,$B$2:$B$5,0))*$F208/SUMIFS($F:$F,$E:$E,$E208,$B:$B,$B208,O:O,1)*IF(B208=$B$10,0.9,1),0)</f>
        <v>750</v>
      </c>
      <c r="Q208" s="24">
        <f t="shared" ref="Q208:U208" si="865">IF($L208&lt;=Q$8,1,0)</f>
        <v>1</v>
      </c>
      <c r="R208" s="24">
        <f>ROUND(INDEX($C$2:$C$5,MATCH($E208,$B$2:$B$5,0))*$I208/SUMIFS($I:$I,$E:$E,$E208,$B:$B,$B208,Q:Q,1)*IF(B208=$B$10,0.9,1),0)</f>
        <v>900</v>
      </c>
      <c r="S208" s="24">
        <f t="shared" si="865"/>
        <v>1</v>
      </c>
      <c r="T208" s="24">
        <f>ROUND(INDEX($C$2:$C$5,MATCH($E208,$B$2:$B$5,0))*$J208/SUMIFS($J:$J,$E:$E,$E208,$B:$B,$B208,S:S,1)*IF(B208=$B$10,0.9,1),0)</f>
        <v>900</v>
      </c>
      <c r="U208" s="24">
        <f t="shared" si="865"/>
        <v>1</v>
      </c>
      <c r="V208" s="24">
        <f>ROUND(INDEX($C$2:$C$5,MATCH($E208,$B$2:$B$5,0))*$K208/SUMIFS($K:$K,$E:$E,$E208,$B:$B,$B208,U:U,1)*IF(B208=$B$10,0.9,1),0)</f>
        <v>900</v>
      </c>
      <c r="W208" s="24">
        <f t="shared" ref="W208:AA208" si="866">IF($L208&lt;=W$8,1,0)</f>
        <v>1</v>
      </c>
      <c r="X208" s="24">
        <f>ROUND(INDEX($C$2:$C$5,MATCH($E208,$B$2:$B$5,0))*$F208/SUMIFS($F:$F,$E:$E,$E208,$B:$B,$B208,W:W,1)*IF(B208=$B$10,0.9,1),0)</f>
        <v>750</v>
      </c>
      <c r="Y208" s="24">
        <f t="shared" si="866"/>
        <v>1</v>
      </c>
      <c r="Z208" s="24">
        <f>ROUND(INDEX($C$2:$C$5,MATCH($E208,$B$2:$B$5,0))*$G208/SUMIFS($G:$G,$E:$E,$E208,$B:$B,$B208,Y:Y,1)*IF(B208=$B$10,0.9,1),0)</f>
        <v>750</v>
      </c>
      <c r="AA208" s="24">
        <f t="shared" si="866"/>
        <v>1</v>
      </c>
      <c r="AB208" s="24">
        <f>ROUND(INDEX($C$2:$C$5,MATCH($E208,$B$2:$B$5,0))*$H208/SUMIFS($H:$H,$E:$E,$E208,$B:$B,$B208,AA:AA,1)*IF(B208=$B$10,0.9,1),0)</f>
        <v>750</v>
      </c>
      <c r="AC208" s="24">
        <f t="shared" ref="AC208:AG208" si="867">IF($L208&lt;=AC$8,1,0)</f>
        <v>1</v>
      </c>
      <c r="AD208" s="24">
        <f>ROUND(INDEX($C$2:$C$5,MATCH($E208,$B$2:$B$5,0))*$F208/SUMIFS($F:$F,$E:$E,$E208,$B:$B,$B208,AC:AC,1)*IF(B208=$B$10,0.9,1),0)</f>
        <v>750</v>
      </c>
      <c r="AE208" s="24">
        <f t="shared" si="867"/>
        <v>1</v>
      </c>
      <c r="AF208" s="24">
        <f>ROUND(INDEX($C$2:$C$5,MATCH($E208,$B$2:$B$5,0))*$G208/SUMIFS($G:$G,$E:$E,$E208,$B:$B,$B208,AE:AE,1)*IF(B208=$B$10,0.9,1),0)</f>
        <v>750</v>
      </c>
      <c r="AG208" s="24">
        <f t="shared" si="867"/>
        <v>1</v>
      </c>
      <c r="AH208" s="24">
        <f>ROUND(INDEX($C$2:$C$5,MATCH($E208,$B$2:$B$5,0))*$H208/SUMIFS($H:$H,$E:$E,$E208,$B:$B,$B208,AG:AG,1)*IF(B208=$B$10,0.9,1),0)</f>
        <v>750</v>
      </c>
      <c r="AI208" s="24">
        <f t="shared" ref="AI208:AM208" si="868">IF($L208&lt;=AI$8,1,0)</f>
        <v>1</v>
      </c>
      <c r="AJ208" s="24">
        <f>ROUND(INDEX($C$2:$C$5,MATCH($E208,$B$2:$B$5,0))*$F208/SUMIFS($F:$F,$E:$E,$E208,$B:$B,$B208,AI:AI,1)*IF(B208=$B$10,0.9,1),0)</f>
        <v>750</v>
      </c>
      <c r="AK208" s="24">
        <f t="shared" si="868"/>
        <v>1</v>
      </c>
      <c r="AL208" s="24">
        <f>ROUND(INDEX($C$2:$C$5,MATCH($E208,$B$2:$B$5,0))*$G208/SUMIFS($G:$G,$E:$E,$E208,$B:$B,$B208,AK:AK,1)*IF(B208=$B$10,0.9,1),0)</f>
        <v>750</v>
      </c>
      <c r="AM208" s="24">
        <f t="shared" si="868"/>
        <v>1</v>
      </c>
      <c r="AN208" s="24">
        <f>ROUND(INDEX($C$2:$C$5,MATCH($E208,$B$2:$B$5,0))*$H208/SUMIFS($H:$H,$E:$E,$E208,$B:$B,$B208,AM:AM,1)*IF(B208=$B$10,0.9,1),0)</f>
        <v>750</v>
      </c>
      <c r="AX208" s="4" t="str">
        <f t="shared" si="830"/>
        <v>1,750</v>
      </c>
      <c r="AY208" s="4" t="str">
        <f t="shared" si="831"/>
        <v>1,900</v>
      </c>
      <c r="AZ208" s="4" t="str">
        <f t="shared" si="832"/>
        <v>1,900</v>
      </c>
      <c r="BA208" s="4" t="str">
        <f t="shared" si="833"/>
        <v>1,900</v>
      </c>
      <c r="BB208" s="4" t="str">
        <f t="shared" si="834"/>
        <v>1,750</v>
      </c>
      <c r="BC208" s="4" t="str">
        <f t="shared" si="835"/>
        <v>1,750</v>
      </c>
      <c r="BD208" s="4" t="str">
        <f t="shared" si="836"/>
        <v>1,750</v>
      </c>
      <c r="BE208" s="4" t="str">
        <f t="shared" si="837"/>
        <v>1,750</v>
      </c>
      <c r="BF208" s="4" t="str">
        <f t="shared" si="838"/>
        <v>1,750</v>
      </c>
      <c r="BG208" s="4" t="str">
        <f t="shared" si="839"/>
        <v>1,750</v>
      </c>
      <c r="BH208" s="4" t="str">
        <f t="shared" si="840"/>
        <v>1,750</v>
      </c>
      <c r="BI208" s="4" t="str">
        <f t="shared" si="841"/>
        <v>1,750</v>
      </c>
      <c r="BJ208" s="4" t="str">
        <f t="shared" si="842"/>
        <v>1,750</v>
      </c>
    </row>
    <row r="209" customHeight="1" spans="1:62">
      <c r="A209" s="62">
        <v>1232</v>
      </c>
      <c r="B209" s="63" t="s">
        <v>98</v>
      </c>
      <c r="C209" s="64"/>
      <c r="D209" s="44" t="s">
        <v>100</v>
      </c>
      <c r="E209" s="62">
        <v>2</v>
      </c>
      <c r="F209" s="35">
        <v>1</v>
      </c>
      <c r="G209" s="35">
        <f t="shared" si="843"/>
        <v>1</v>
      </c>
      <c r="H209" s="35">
        <v>1</v>
      </c>
      <c r="I209" s="35">
        <v>1</v>
      </c>
      <c r="J209" s="35">
        <v>1</v>
      </c>
      <c r="K209" s="35">
        <v>1</v>
      </c>
      <c r="L209" s="35">
        <v>2</v>
      </c>
      <c r="M209" s="35"/>
      <c r="N209">
        <f t="shared" si="844"/>
        <v>4500</v>
      </c>
      <c r="O209" s="35">
        <v>1</v>
      </c>
      <c r="P209" s="24">
        <f>ROUND(INDEX($C$2:$C$5,MATCH($E209,$B$2:$B$5,0))*$F209/SUMIFS($F:$F,$E:$E,$E209,$B:$B,$B209,O:O,1)*IF(B209=$B$10,0.9,1),0)</f>
        <v>750</v>
      </c>
      <c r="Q209" s="24">
        <f t="shared" ref="Q209:U209" si="869">IF($L209&lt;=Q$8,1,0)</f>
        <v>0</v>
      </c>
      <c r="R209" s="24">
        <f>ROUND(INDEX($C$2:$C$5,MATCH($E209,$B$2:$B$5,0))*$I209/SUMIFS($I:$I,$E:$E,$E209,$B:$B,$B209,Q:Q,1)*IF(B209=$B$10,0.9,1),0)</f>
        <v>900</v>
      </c>
      <c r="S209" s="24">
        <f t="shared" si="869"/>
        <v>0</v>
      </c>
      <c r="T209" s="24">
        <f>ROUND(INDEX($C$2:$C$5,MATCH($E209,$B$2:$B$5,0))*$J209/SUMIFS($J:$J,$E:$E,$E209,$B:$B,$B209,S:S,1)*IF(B209=$B$10,0.9,1),0)</f>
        <v>900</v>
      </c>
      <c r="U209" s="24">
        <f t="shared" si="869"/>
        <v>0</v>
      </c>
      <c r="V209" s="24">
        <f>ROUND(INDEX($C$2:$C$5,MATCH($E209,$B$2:$B$5,0))*$K209/SUMIFS($K:$K,$E:$E,$E209,$B:$B,$B209,U:U,1)*IF(B209=$B$10,0.9,1),0)</f>
        <v>900</v>
      </c>
      <c r="W209" s="24">
        <f t="shared" ref="W209:AA209" si="870">IF($L209&lt;=W$8,1,0)</f>
        <v>1</v>
      </c>
      <c r="X209" s="24">
        <f>ROUND(INDEX($C$2:$C$5,MATCH($E209,$B$2:$B$5,0))*$F209/SUMIFS($F:$F,$E:$E,$E209,$B:$B,$B209,W:W,1)*IF(B209=$B$10,0.9,1),0)</f>
        <v>750</v>
      </c>
      <c r="Y209" s="24">
        <f t="shared" si="870"/>
        <v>1</v>
      </c>
      <c r="Z209" s="24">
        <f>ROUND(INDEX($C$2:$C$5,MATCH($E209,$B$2:$B$5,0))*$G209/SUMIFS($G:$G,$E:$E,$E209,$B:$B,$B209,Y:Y,1)*IF(B209=$B$10,0.9,1),0)</f>
        <v>750</v>
      </c>
      <c r="AA209" s="24">
        <f t="shared" si="870"/>
        <v>1</v>
      </c>
      <c r="AB209" s="24">
        <f>ROUND(INDEX($C$2:$C$5,MATCH($E209,$B$2:$B$5,0))*$H209/SUMIFS($H:$H,$E:$E,$E209,$B:$B,$B209,AA:AA,1)*IF(B209=$B$10,0.9,1),0)</f>
        <v>750</v>
      </c>
      <c r="AC209" s="24">
        <f t="shared" ref="AC209:AG209" si="871">IF($L209&lt;=AC$8,1,0)</f>
        <v>1</v>
      </c>
      <c r="AD209" s="24">
        <f>ROUND(INDEX($C$2:$C$5,MATCH($E209,$B$2:$B$5,0))*$F209/SUMIFS($F:$F,$E:$E,$E209,$B:$B,$B209,AC:AC,1)*IF(B209=$B$10,0.9,1),0)</f>
        <v>750</v>
      </c>
      <c r="AE209" s="24">
        <f t="shared" si="871"/>
        <v>1</v>
      </c>
      <c r="AF209" s="24">
        <f>ROUND(INDEX($C$2:$C$5,MATCH($E209,$B$2:$B$5,0))*$G209/SUMIFS($G:$G,$E:$E,$E209,$B:$B,$B209,AE:AE,1)*IF(B209=$B$10,0.9,1),0)</f>
        <v>750</v>
      </c>
      <c r="AG209" s="24">
        <f t="shared" si="871"/>
        <v>1</v>
      </c>
      <c r="AH209" s="24">
        <f>ROUND(INDEX($C$2:$C$5,MATCH($E209,$B$2:$B$5,0))*$H209/SUMIFS($H:$H,$E:$E,$E209,$B:$B,$B209,AG:AG,1)*IF(B209=$B$10,0.9,1),0)</f>
        <v>750</v>
      </c>
      <c r="AI209" s="24">
        <f t="shared" ref="AI209:AM209" si="872">IF($L209&lt;=AI$8,1,0)</f>
        <v>1</v>
      </c>
      <c r="AJ209" s="24">
        <f>ROUND(INDEX($C$2:$C$5,MATCH($E209,$B$2:$B$5,0))*$F209/SUMIFS($F:$F,$E:$E,$E209,$B:$B,$B209,AI:AI,1)*IF(B209=$B$10,0.9,1),0)</f>
        <v>750</v>
      </c>
      <c r="AK209" s="24">
        <f t="shared" si="872"/>
        <v>1</v>
      </c>
      <c r="AL209" s="24">
        <f>ROUND(INDEX($C$2:$C$5,MATCH($E209,$B$2:$B$5,0))*$G209/SUMIFS($G:$G,$E:$E,$E209,$B:$B,$B209,AK:AK,1)*IF(B209=$B$10,0.9,1),0)</f>
        <v>750</v>
      </c>
      <c r="AM209" s="24">
        <f t="shared" si="872"/>
        <v>1</v>
      </c>
      <c r="AN209" s="24">
        <f>ROUND(INDEX($C$2:$C$5,MATCH($E209,$B$2:$B$5,0))*$H209/SUMIFS($H:$H,$E:$E,$E209,$B:$B,$B209,AM:AM,1)*IF(B209=$B$10,0.9,1),0)</f>
        <v>750</v>
      </c>
      <c r="AX209" s="4" t="str">
        <f t="shared" si="830"/>
        <v>1,750</v>
      </c>
      <c r="AY209" s="4" t="str">
        <f t="shared" si="831"/>
        <v>0,900</v>
      </c>
      <c r="AZ209" s="4" t="str">
        <f t="shared" si="832"/>
        <v>0,900</v>
      </c>
      <c r="BA209" s="4" t="str">
        <f t="shared" si="833"/>
        <v>0,900</v>
      </c>
      <c r="BB209" s="4" t="str">
        <f t="shared" si="834"/>
        <v>1,750</v>
      </c>
      <c r="BC209" s="4" t="str">
        <f t="shared" si="835"/>
        <v>1,750</v>
      </c>
      <c r="BD209" s="4" t="str">
        <f t="shared" si="836"/>
        <v>1,750</v>
      </c>
      <c r="BE209" s="4" t="str">
        <f t="shared" si="837"/>
        <v>1,750</v>
      </c>
      <c r="BF209" s="4" t="str">
        <f t="shared" si="838"/>
        <v>1,750</v>
      </c>
      <c r="BG209" s="4" t="str">
        <f t="shared" si="839"/>
        <v>1,750</v>
      </c>
      <c r="BH209" s="4" t="str">
        <f t="shared" si="840"/>
        <v>1,750</v>
      </c>
      <c r="BI209" s="4" t="str">
        <f t="shared" si="841"/>
        <v>1,750</v>
      </c>
      <c r="BJ209" s="4" t="str">
        <f t="shared" si="842"/>
        <v>1,750</v>
      </c>
    </row>
    <row r="210" customHeight="1" spans="1:62">
      <c r="A210" s="62">
        <v>1241</v>
      </c>
      <c r="B210" s="63" t="s">
        <v>98</v>
      </c>
      <c r="C210" s="64"/>
      <c r="D210" s="46" t="s">
        <v>27</v>
      </c>
      <c r="E210" s="65">
        <v>3</v>
      </c>
      <c r="F210" s="35">
        <v>1</v>
      </c>
      <c r="G210" s="35">
        <f t="shared" si="843"/>
        <v>1</v>
      </c>
      <c r="H210" s="35">
        <v>1</v>
      </c>
      <c r="I210" s="35">
        <v>1</v>
      </c>
      <c r="J210" s="35">
        <v>1</v>
      </c>
      <c r="K210" s="35">
        <v>1</v>
      </c>
      <c r="L210" s="35">
        <v>1</v>
      </c>
      <c r="M210" s="35"/>
      <c r="N210">
        <f t="shared" si="844"/>
        <v>1500</v>
      </c>
      <c r="O210" s="35">
        <v>1</v>
      </c>
      <c r="P210" s="24">
        <f>ROUND(INDEX($C$2:$C$5,MATCH($E210,$B$2:$B$5,0))*$F210/SUMIFS($F:$F,$E:$E,$E210,$B:$B,$B210,O:O,1)*IF(B210=$B$10,0.9,1),0)</f>
        <v>250</v>
      </c>
      <c r="Q210" s="24">
        <f t="shared" ref="Q210:U210" si="873">IF($L210&lt;=Q$8,1,0)</f>
        <v>1</v>
      </c>
      <c r="R210" s="24">
        <f>ROUND(INDEX($C$2:$C$5,MATCH($E210,$B$2:$B$5,0))*$I210/SUMIFS($I:$I,$E:$E,$E210,$B:$B,$B210,Q:Q,1)*IF(B210=$B$10,0.9,1),0)</f>
        <v>300</v>
      </c>
      <c r="S210" s="24">
        <f t="shared" si="873"/>
        <v>1</v>
      </c>
      <c r="T210" s="24">
        <f>ROUND(INDEX($C$2:$C$5,MATCH($E210,$B$2:$B$5,0))*$J210/SUMIFS($J:$J,$E:$E,$E210,$B:$B,$B210,S:S,1)*IF(B210=$B$10,0.9,1),0)</f>
        <v>300</v>
      </c>
      <c r="U210" s="24">
        <f t="shared" si="873"/>
        <v>1</v>
      </c>
      <c r="V210" s="24">
        <f>ROUND(INDEX($C$2:$C$5,MATCH($E210,$B$2:$B$5,0))*$K210/SUMIFS($K:$K,$E:$E,$E210,$B:$B,$B210,U:U,1)*IF(B210=$B$10,0.9,1),0)</f>
        <v>300</v>
      </c>
      <c r="W210" s="24">
        <f t="shared" ref="W210:AA210" si="874">IF($L210&lt;=W$8,1,0)</f>
        <v>1</v>
      </c>
      <c r="X210" s="24">
        <f>ROUND(INDEX($C$2:$C$5,MATCH($E210,$B$2:$B$5,0))*$F210/SUMIFS($F:$F,$E:$E,$E210,$B:$B,$B210,W:W,1)*IF(B210=$B$10,0.9,1),0)</f>
        <v>250</v>
      </c>
      <c r="Y210" s="24">
        <f t="shared" si="874"/>
        <v>1</v>
      </c>
      <c r="Z210" s="24">
        <f>ROUND(INDEX($C$2:$C$5,MATCH($E210,$B$2:$B$5,0))*$G210/SUMIFS($G:$G,$E:$E,$E210,$B:$B,$B210,Y:Y,1)*IF(B210=$B$10,0.9,1),0)</f>
        <v>250</v>
      </c>
      <c r="AA210" s="24">
        <f t="shared" si="874"/>
        <v>1</v>
      </c>
      <c r="AB210" s="24">
        <f>ROUND(INDEX($C$2:$C$5,MATCH($E210,$B$2:$B$5,0))*$H210/SUMIFS($H:$H,$E:$E,$E210,$B:$B,$B210,AA:AA,1)*IF(B210=$B$10,0.9,1),0)</f>
        <v>250</v>
      </c>
      <c r="AC210" s="24">
        <f t="shared" ref="AC210:AG210" si="875">IF($L210&lt;=AC$8,1,0)</f>
        <v>1</v>
      </c>
      <c r="AD210" s="24">
        <f>ROUND(INDEX($C$2:$C$5,MATCH($E210,$B$2:$B$5,0))*$F210/SUMIFS($F:$F,$E:$E,$E210,$B:$B,$B210,AC:AC,1)*IF(B210=$B$10,0.9,1),0)</f>
        <v>250</v>
      </c>
      <c r="AE210" s="24">
        <f t="shared" si="875"/>
        <v>1</v>
      </c>
      <c r="AF210" s="24">
        <f>ROUND(INDEX($C$2:$C$5,MATCH($E210,$B$2:$B$5,0))*$G210/SUMIFS($G:$G,$E:$E,$E210,$B:$B,$B210,AE:AE,1)*IF(B210=$B$10,0.9,1),0)</f>
        <v>250</v>
      </c>
      <c r="AG210" s="24">
        <f t="shared" si="875"/>
        <v>1</v>
      </c>
      <c r="AH210" s="24">
        <f>ROUND(INDEX($C$2:$C$5,MATCH($E210,$B$2:$B$5,0))*$H210/SUMIFS($H:$H,$E:$E,$E210,$B:$B,$B210,AG:AG,1)*IF(B210=$B$10,0.9,1),0)</f>
        <v>250</v>
      </c>
      <c r="AI210" s="24">
        <f t="shared" ref="AI210:AM210" si="876">IF($L210&lt;=AI$8,1,0)</f>
        <v>1</v>
      </c>
      <c r="AJ210" s="24">
        <f>ROUND(INDEX($C$2:$C$5,MATCH($E210,$B$2:$B$5,0))*$F210/SUMIFS($F:$F,$E:$E,$E210,$B:$B,$B210,AI:AI,1)*IF(B210=$B$10,0.9,1),0)</f>
        <v>250</v>
      </c>
      <c r="AK210" s="24">
        <f t="shared" si="876"/>
        <v>1</v>
      </c>
      <c r="AL210" s="24">
        <f>ROUND(INDEX($C$2:$C$5,MATCH($E210,$B$2:$B$5,0))*$G210/SUMIFS($G:$G,$E:$E,$E210,$B:$B,$B210,AK:AK,1)*IF(B210=$B$10,0.9,1),0)</f>
        <v>250</v>
      </c>
      <c r="AM210" s="24">
        <f t="shared" si="876"/>
        <v>1</v>
      </c>
      <c r="AN210" s="24">
        <f>ROUND(INDEX($C$2:$C$5,MATCH($E210,$B$2:$B$5,0))*$H210/SUMIFS($H:$H,$E:$E,$E210,$B:$B,$B210,AM:AM,1)*IF(B210=$B$10,0.9,1),0)</f>
        <v>250</v>
      </c>
      <c r="AX210" s="4" t="str">
        <f t="shared" si="830"/>
        <v>1,250</v>
      </c>
      <c r="AY210" s="4" t="str">
        <f t="shared" si="831"/>
        <v>1,300</v>
      </c>
      <c r="AZ210" s="4" t="str">
        <f t="shared" si="832"/>
        <v>1,300</v>
      </c>
      <c r="BA210" s="4" t="str">
        <f t="shared" si="833"/>
        <v>1,300</v>
      </c>
      <c r="BB210" s="4" t="str">
        <f t="shared" si="834"/>
        <v>1,250</v>
      </c>
      <c r="BC210" s="4" t="str">
        <f t="shared" si="835"/>
        <v>1,250</v>
      </c>
      <c r="BD210" s="4" t="str">
        <f t="shared" si="836"/>
        <v>1,250</v>
      </c>
      <c r="BE210" s="4" t="str">
        <f t="shared" si="837"/>
        <v>1,250</v>
      </c>
      <c r="BF210" s="4" t="str">
        <f t="shared" si="838"/>
        <v>1,250</v>
      </c>
      <c r="BG210" s="4" t="str">
        <f t="shared" si="839"/>
        <v>1,250</v>
      </c>
      <c r="BH210" s="4" t="str">
        <f t="shared" si="840"/>
        <v>1,250</v>
      </c>
      <c r="BI210" s="4" t="str">
        <f t="shared" si="841"/>
        <v>1,250</v>
      </c>
      <c r="BJ210" s="4" t="str">
        <f t="shared" si="842"/>
        <v>1,250</v>
      </c>
    </row>
    <row r="211" customHeight="1" spans="1:62">
      <c r="A211" s="62">
        <v>1242</v>
      </c>
      <c r="B211" s="63" t="s">
        <v>98</v>
      </c>
      <c r="C211" s="64"/>
      <c r="D211" s="46" t="s">
        <v>411</v>
      </c>
      <c r="E211" s="65">
        <v>3</v>
      </c>
      <c r="F211" s="35">
        <v>1</v>
      </c>
      <c r="G211" s="35">
        <f t="shared" si="843"/>
        <v>1</v>
      </c>
      <c r="H211" s="35">
        <v>1</v>
      </c>
      <c r="I211" s="35">
        <v>1</v>
      </c>
      <c r="J211" s="35">
        <v>1</v>
      </c>
      <c r="K211" s="35">
        <v>1</v>
      </c>
      <c r="L211" s="35">
        <v>2</v>
      </c>
      <c r="M211" s="35"/>
      <c r="N211">
        <f t="shared" si="844"/>
        <v>1500</v>
      </c>
      <c r="O211" s="35">
        <v>1</v>
      </c>
      <c r="P211" s="24">
        <f>ROUND(INDEX($C$2:$C$5,MATCH($E211,$B$2:$B$5,0))*$F211/SUMIFS($F:$F,$E:$E,$E211,$B:$B,$B211,O:O,1)*IF(B211=$B$10,0.9,1),0)</f>
        <v>250</v>
      </c>
      <c r="Q211" s="24">
        <f t="shared" ref="Q211:U211" si="877">IF($L211&lt;=Q$8,1,0)</f>
        <v>0</v>
      </c>
      <c r="R211" s="24">
        <f>ROUND(INDEX($C$2:$C$5,MATCH($E211,$B$2:$B$5,0))*$I211/SUMIFS($I:$I,$E:$E,$E211,$B:$B,$B211,Q:Q,1)*IF(B211=$B$10,0.9,1),0)</f>
        <v>300</v>
      </c>
      <c r="S211" s="24">
        <f t="shared" si="877"/>
        <v>0</v>
      </c>
      <c r="T211" s="24">
        <f>ROUND(INDEX($C$2:$C$5,MATCH($E211,$B$2:$B$5,0))*$J211/SUMIFS($J:$J,$E:$E,$E211,$B:$B,$B211,S:S,1)*IF(B211=$B$10,0.9,1),0)</f>
        <v>300</v>
      </c>
      <c r="U211" s="24">
        <f t="shared" si="877"/>
        <v>0</v>
      </c>
      <c r="V211" s="24">
        <f>ROUND(INDEX($C$2:$C$5,MATCH($E211,$B$2:$B$5,0))*$K211/SUMIFS($K:$K,$E:$E,$E211,$B:$B,$B211,U:U,1)*IF(B211=$B$10,0.9,1),0)</f>
        <v>300</v>
      </c>
      <c r="W211" s="24">
        <f t="shared" ref="W211:AA211" si="878">IF($L211&lt;=W$8,1,0)</f>
        <v>1</v>
      </c>
      <c r="X211" s="24">
        <f>ROUND(INDEX($C$2:$C$5,MATCH($E211,$B$2:$B$5,0))*$F211/SUMIFS($F:$F,$E:$E,$E211,$B:$B,$B211,W:W,1)*IF(B211=$B$10,0.9,1),0)</f>
        <v>250</v>
      </c>
      <c r="Y211" s="24">
        <f t="shared" si="878"/>
        <v>1</v>
      </c>
      <c r="Z211" s="24">
        <f>ROUND(INDEX($C$2:$C$5,MATCH($E211,$B$2:$B$5,0))*$G211/SUMIFS($G:$G,$E:$E,$E211,$B:$B,$B211,Y:Y,1)*IF(B211=$B$10,0.9,1),0)</f>
        <v>250</v>
      </c>
      <c r="AA211" s="24">
        <f t="shared" si="878"/>
        <v>1</v>
      </c>
      <c r="AB211" s="24">
        <f>ROUND(INDEX($C$2:$C$5,MATCH($E211,$B$2:$B$5,0))*$H211/SUMIFS($H:$H,$E:$E,$E211,$B:$B,$B211,AA:AA,1)*IF(B211=$B$10,0.9,1),0)</f>
        <v>250</v>
      </c>
      <c r="AC211" s="24">
        <f t="shared" ref="AC211:AG211" si="879">IF($L211&lt;=AC$8,1,0)</f>
        <v>1</v>
      </c>
      <c r="AD211" s="24">
        <f>ROUND(INDEX($C$2:$C$5,MATCH($E211,$B$2:$B$5,0))*$F211/SUMIFS($F:$F,$E:$E,$E211,$B:$B,$B211,AC:AC,1)*IF(B211=$B$10,0.9,1),0)</f>
        <v>250</v>
      </c>
      <c r="AE211" s="24">
        <f t="shared" si="879"/>
        <v>1</v>
      </c>
      <c r="AF211" s="24">
        <f>ROUND(INDEX($C$2:$C$5,MATCH($E211,$B$2:$B$5,0))*$G211/SUMIFS($G:$G,$E:$E,$E211,$B:$B,$B211,AE:AE,1)*IF(B211=$B$10,0.9,1),0)</f>
        <v>250</v>
      </c>
      <c r="AG211" s="24">
        <f t="shared" si="879"/>
        <v>1</v>
      </c>
      <c r="AH211" s="24">
        <f>ROUND(INDEX($C$2:$C$5,MATCH($E211,$B$2:$B$5,0))*$H211/SUMIFS($H:$H,$E:$E,$E211,$B:$B,$B211,AG:AG,1)*IF(B211=$B$10,0.9,1),0)</f>
        <v>250</v>
      </c>
      <c r="AI211" s="24">
        <f t="shared" ref="AI211:AM211" si="880">IF($L211&lt;=AI$8,1,0)</f>
        <v>1</v>
      </c>
      <c r="AJ211" s="24">
        <f>ROUND(INDEX($C$2:$C$5,MATCH($E211,$B$2:$B$5,0))*$F211/SUMIFS($F:$F,$E:$E,$E211,$B:$B,$B211,AI:AI,1)*IF(B211=$B$10,0.9,1),0)</f>
        <v>250</v>
      </c>
      <c r="AK211" s="24">
        <f t="shared" si="880"/>
        <v>1</v>
      </c>
      <c r="AL211" s="24">
        <f>ROUND(INDEX($C$2:$C$5,MATCH($E211,$B$2:$B$5,0))*$G211/SUMIFS($G:$G,$E:$E,$E211,$B:$B,$B211,AK:AK,1)*IF(B211=$B$10,0.9,1),0)</f>
        <v>250</v>
      </c>
      <c r="AM211" s="24">
        <f t="shared" si="880"/>
        <v>1</v>
      </c>
      <c r="AN211" s="24">
        <f>ROUND(INDEX($C$2:$C$5,MATCH($E211,$B$2:$B$5,0))*$H211/SUMIFS($H:$H,$E:$E,$E211,$B:$B,$B211,AM:AM,1)*IF(B211=$B$10,0.9,1),0)</f>
        <v>250</v>
      </c>
      <c r="AX211" s="4" t="str">
        <f t="shared" si="830"/>
        <v>1,250</v>
      </c>
      <c r="AY211" s="4" t="str">
        <f t="shared" si="831"/>
        <v>0,300</v>
      </c>
      <c r="AZ211" s="4" t="str">
        <f t="shared" si="832"/>
        <v>0,300</v>
      </c>
      <c r="BA211" s="4" t="str">
        <f t="shared" si="833"/>
        <v>0,300</v>
      </c>
      <c r="BB211" s="4" t="str">
        <f t="shared" si="834"/>
        <v>1,250</v>
      </c>
      <c r="BC211" s="4" t="str">
        <f t="shared" si="835"/>
        <v>1,250</v>
      </c>
      <c r="BD211" s="4" t="str">
        <f t="shared" si="836"/>
        <v>1,250</v>
      </c>
      <c r="BE211" s="4" t="str">
        <f t="shared" si="837"/>
        <v>1,250</v>
      </c>
      <c r="BF211" s="4" t="str">
        <f t="shared" si="838"/>
        <v>1,250</v>
      </c>
      <c r="BG211" s="4" t="str">
        <f t="shared" si="839"/>
        <v>1,250</v>
      </c>
      <c r="BH211" s="4" t="str">
        <f t="shared" si="840"/>
        <v>1,250</v>
      </c>
      <c r="BI211" s="4" t="str">
        <f t="shared" si="841"/>
        <v>1,250</v>
      </c>
      <c r="BJ211" s="4" t="str">
        <f t="shared" si="842"/>
        <v>1,250</v>
      </c>
    </row>
    <row r="212" customHeight="1" spans="1:62">
      <c r="A212" s="62">
        <v>1251</v>
      </c>
      <c r="B212" s="63" t="s">
        <v>98</v>
      </c>
      <c r="C212" s="64"/>
      <c r="D212" s="47" t="s">
        <v>412</v>
      </c>
      <c r="E212" s="66">
        <v>4</v>
      </c>
      <c r="F212" s="35">
        <v>1</v>
      </c>
      <c r="G212" s="35">
        <f t="shared" si="843"/>
        <v>1</v>
      </c>
      <c r="H212" s="35">
        <v>1</v>
      </c>
      <c r="I212" s="35">
        <v>1</v>
      </c>
      <c r="J212" s="35">
        <v>1</v>
      </c>
      <c r="K212" s="35">
        <v>1</v>
      </c>
      <c r="L212" s="35">
        <v>1</v>
      </c>
      <c r="M212" s="35"/>
      <c r="N212">
        <f t="shared" si="844"/>
        <v>500</v>
      </c>
      <c r="O212" s="35">
        <v>1</v>
      </c>
      <c r="P212" s="24">
        <f>ROUND(INDEX($C$2:$C$5,MATCH($E212,$B$2:$B$5,0))*$F212/SUMIFS($F:$F,$E:$E,$E212,$B:$B,$B212,O:O,1)*IF(B212=$B$10,0.9,1),0)</f>
        <v>250</v>
      </c>
      <c r="Q212" s="24">
        <f t="shared" ref="Q212:U212" si="881">IF($L212&lt;=Q$8,1,0)</f>
        <v>1</v>
      </c>
      <c r="R212" s="24">
        <f>ROUND(INDEX($C$2:$C$5,MATCH($E212,$B$2:$B$5,0))*$I212/SUMIFS($I:$I,$E:$E,$E212,$B:$B,$B212,Q:Q,1)*IF(B212=$B$10,0.9,1),0)</f>
        <v>500</v>
      </c>
      <c r="S212" s="24">
        <f t="shared" si="881"/>
        <v>1</v>
      </c>
      <c r="T212" s="24">
        <f>ROUND(INDEX($C$2:$C$5,MATCH($E212,$B$2:$B$5,0))*$J212/SUMIFS($J:$J,$E:$E,$E212,$B:$B,$B212,S:S,1)*IF(B212=$B$10,0.9,1),0)</f>
        <v>500</v>
      </c>
      <c r="U212" s="24">
        <f t="shared" si="881"/>
        <v>1</v>
      </c>
      <c r="V212" s="24">
        <f>ROUND(INDEX($C$2:$C$5,MATCH($E212,$B$2:$B$5,0))*$K212/SUMIFS($K:$K,$E:$E,$E212,$B:$B,$B212,U:U,1)*IF(B212=$B$10,0.9,1),0)</f>
        <v>500</v>
      </c>
      <c r="W212" s="24">
        <f t="shared" ref="W212:AA212" si="882">IF($L212&lt;=W$8,1,0)</f>
        <v>1</v>
      </c>
      <c r="X212" s="24">
        <f>ROUND(INDEX($C$2:$C$5,MATCH($E212,$B$2:$B$5,0))*$F212/SUMIFS($F:$F,$E:$E,$E212,$B:$B,$B212,W:W,1)*IF(B212=$B$10,0.9,1),0)</f>
        <v>500</v>
      </c>
      <c r="Y212" s="24">
        <f t="shared" si="882"/>
        <v>1</v>
      </c>
      <c r="Z212" s="24">
        <f>ROUND(INDEX($C$2:$C$5,MATCH($E212,$B$2:$B$5,0))*$G212/SUMIFS($G:$G,$E:$E,$E212,$B:$B,$B212,Y:Y,1)*IF(B212=$B$10,0.9,1),0)</f>
        <v>500</v>
      </c>
      <c r="AA212" s="24">
        <f t="shared" si="882"/>
        <v>1</v>
      </c>
      <c r="AB212" s="24">
        <f>ROUND(INDEX($C$2:$C$5,MATCH($E212,$B$2:$B$5,0))*$H212/SUMIFS($H:$H,$E:$E,$E212,$B:$B,$B212,AA:AA,1)*IF(B212=$B$10,0.9,1),0)</f>
        <v>500</v>
      </c>
      <c r="AC212" s="24">
        <f t="shared" ref="AC212:AG212" si="883">IF($L212&lt;=AC$8,1,0)</f>
        <v>1</v>
      </c>
      <c r="AD212" s="24">
        <f>ROUND(INDEX($C$2:$C$5,MATCH($E212,$B$2:$B$5,0))*$F212/SUMIFS($F:$F,$E:$E,$E212,$B:$B,$B212,AC:AC,1)*IF(B212=$B$10,0.9,1),0)</f>
        <v>250</v>
      </c>
      <c r="AE212" s="24">
        <f t="shared" si="883"/>
        <v>1</v>
      </c>
      <c r="AF212" s="24">
        <f>ROUND(INDEX($C$2:$C$5,MATCH($E212,$B$2:$B$5,0))*$G212/SUMIFS($G:$G,$E:$E,$E212,$B:$B,$B212,AE:AE,1)*IF(B212=$B$10,0.9,1),0)</f>
        <v>250</v>
      </c>
      <c r="AG212" s="24">
        <f t="shared" si="883"/>
        <v>1</v>
      </c>
      <c r="AH212" s="24">
        <f>ROUND(INDEX($C$2:$C$5,MATCH($E212,$B$2:$B$5,0))*$H212/SUMIFS($H:$H,$E:$E,$E212,$B:$B,$B212,AG:AG,1)*IF(B212=$B$10,0.9,1),0)</f>
        <v>250</v>
      </c>
      <c r="AI212" s="24">
        <f t="shared" ref="AI212:AM212" si="884">IF($L212&lt;=AI$8,1,0)</f>
        <v>1</v>
      </c>
      <c r="AJ212" s="24">
        <f>ROUND(INDEX($C$2:$C$5,MATCH($E212,$B$2:$B$5,0))*$F212/SUMIFS($F:$F,$E:$E,$E212,$B:$B,$B212,AI:AI,1)*IF(B212=$B$10,0.9,1),0)</f>
        <v>250</v>
      </c>
      <c r="AK212" s="24">
        <f t="shared" si="884"/>
        <v>1</v>
      </c>
      <c r="AL212" s="24">
        <f>ROUND(INDEX($C$2:$C$5,MATCH($E212,$B$2:$B$5,0))*$G212/SUMIFS($G:$G,$E:$E,$E212,$B:$B,$B212,AK:AK,1)*IF(B212=$B$10,0.9,1),0)</f>
        <v>250</v>
      </c>
      <c r="AM212" s="24">
        <f t="shared" si="884"/>
        <v>1</v>
      </c>
      <c r="AN212" s="24">
        <f>ROUND(INDEX($C$2:$C$5,MATCH($E212,$B$2:$B$5,0))*$H212/SUMIFS($H:$H,$E:$E,$E212,$B:$B,$B212,AM:AM,1)*IF(B212=$B$10,0.9,1),0)</f>
        <v>250</v>
      </c>
      <c r="AX212" s="4" t="str">
        <f t="shared" si="830"/>
        <v>1,250</v>
      </c>
      <c r="AY212" s="4" t="str">
        <f t="shared" si="831"/>
        <v>1,500</v>
      </c>
      <c r="AZ212" s="4" t="str">
        <f t="shared" si="832"/>
        <v>1,500</v>
      </c>
      <c r="BA212" s="4" t="str">
        <f t="shared" si="833"/>
        <v>1,500</v>
      </c>
      <c r="BB212" s="4" t="str">
        <f t="shared" si="834"/>
        <v>1,500</v>
      </c>
      <c r="BC212" s="4" t="str">
        <f t="shared" si="835"/>
        <v>1,500</v>
      </c>
      <c r="BD212" s="4" t="str">
        <f t="shared" si="836"/>
        <v>1,500</v>
      </c>
      <c r="BE212" s="4" t="str">
        <f t="shared" si="837"/>
        <v>1,250</v>
      </c>
      <c r="BF212" s="4" t="str">
        <f t="shared" si="838"/>
        <v>1,250</v>
      </c>
      <c r="BG212" s="4" t="str">
        <f t="shared" si="839"/>
        <v>1,250</v>
      </c>
      <c r="BH212" s="4" t="str">
        <f t="shared" si="840"/>
        <v>1,250</v>
      </c>
      <c r="BI212" s="4" t="str">
        <f t="shared" si="841"/>
        <v>1,250</v>
      </c>
      <c r="BJ212" s="4" t="str">
        <f t="shared" si="842"/>
        <v>1,250</v>
      </c>
    </row>
    <row r="213" customHeight="1" spans="1:62">
      <c r="A213" s="62">
        <v>1252</v>
      </c>
      <c r="B213" s="63" t="s">
        <v>98</v>
      </c>
      <c r="C213" s="64"/>
      <c r="D213" s="48" t="s">
        <v>413</v>
      </c>
      <c r="E213" s="66">
        <v>4</v>
      </c>
      <c r="F213" s="35">
        <v>1</v>
      </c>
      <c r="G213" s="35">
        <f t="shared" si="843"/>
        <v>1</v>
      </c>
      <c r="H213" s="35">
        <v>1</v>
      </c>
      <c r="I213" s="35">
        <v>1</v>
      </c>
      <c r="J213" s="35">
        <v>1</v>
      </c>
      <c r="K213" s="35">
        <v>1</v>
      </c>
      <c r="L213" s="35">
        <v>3</v>
      </c>
      <c r="M213" s="35"/>
      <c r="N213">
        <f t="shared" si="844"/>
        <v>500</v>
      </c>
      <c r="O213" s="35">
        <v>1</v>
      </c>
      <c r="P213" s="24">
        <f>ROUND(INDEX($C$2:$C$5,MATCH($E213,$B$2:$B$5,0))*$F213/SUMIFS($F:$F,$E:$E,$E213,$B:$B,$B213,O:O,1)*IF(B213=$B$10,0.9,1),0)</f>
        <v>250</v>
      </c>
      <c r="Q213" s="24">
        <f t="shared" ref="Q213:U213" si="885">IF($L213&lt;=Q$8,1,0)</f>
        <v>0</v>
      </c>
      <c r="R213" s="24">
        <f>ROUND(INDEX($C$2:$C$5,MATCH($E213,$B$2:$B$5,0))*$I213/SUMIFS($I:$I,$E:$E,$E213,$B:$B,$B213,Q:Q,1)*IF(B213=$B$10,0.9,1),0)</f>
        <v>500</v>
      </c>
      <c r="S213" s="24">
        <f t="shared" si="885"/>
        <v>0</v>
      </c>
      <c r="T213" s="24">
        <f>ROUND(INDEX($C$2:$C$5,MATCH($E213,$B$2:$B$5,0))*$J213/SUMIFS($J:$J,$E:$E,$E213,$B:$B,$B213,S:S,1)*IF(B213=$B$10,0.9,1),0)</f>
        <v>500</v>
      </c>
      <c r="U213" s="24">
        <f t="shared" si="885"/>
        <v>0</v>
      </c>
      <c r="V213" s="24">
        <f>ROUND(INDEX($C$2:$C$5,MATCH($E213,$B$2:$B$5,0))*$K213/SUMIFS($K:$K,$E:$E,$E213,$B:$B,$B213,U:U,1)*IF(B213=$B$10,0.9,1),0)</f>
        <v>500</v>
      </c>
      <c r="W213" s="24">
        <f t="shared" ref="W213:AA213" si="886">IF($L213&lt;=W$8,1,0)</f>
        <v>0</v>
      </c>
      <c r="X213" s="24">
        <f>ROUND(INDEX($C$2:$C$5,MATCH($E213,$B$2:$B$5,0))*$F213/SUMIFS($F:$F,$E:$E,$E213,$B:$B,$B213,W:W,1)*IF(B213=$B$10,0.9,1),0)</f>
        <v>500</v>
      </c>
      <c r="Y213" s="24">
        <f t="shared" si="886"/>
        <v>0</v>
      </c>
      <c r="Z213" s="24">
        <f>ROUND(INDEX($C$2:$C$5,MATCH($E213,$B$2:$B$5,0))*$G213/SUMIFS($G:$G,$E:$E,$E213,$B:$B,$B213,Y:Y,1)*IF(B213=$B$10,0.9,1),0)</f>
        <v>500</v>
      </c>
      <c r="AA213" s="24">
        <f t="shared" si="886"/>
        <v>0</v>
      </c>
      <c r="AB213" s="24">
        <f>ROUND(INDEX($C$2:$C$5,MATCH($E213,$B$2:$B$5,0))*$H213/SUMIFS($H:$H,$E:$E,$E213,$B:$B,$B213,AA:AA,1)*IF(B213=$B$10,0.9,1),0)</f>
        <v>500</v>
      </c>
      <c r="AC213" s="24">
        <f t="shared" ref="AC213:AG213" si="887">IF($L213&lt;=AC$8,1,0)</f>
        <v>1</v>
      </c>
      <c r="AD213" s="24">
        <f>ROUND(INDEX($C$2:$C$5,MATCH($E213,$B$2:$B$5,0))*$F213/SUMIFS($F:$F,$E:$E,$E213,$B:$B,$B213,AC:AC,1)*IF(B213=$B$10,0.9,1),0)</f>
        <v>250</v>
      </c>
      <c r="AE213" s="24">
        <f t="shared" si="887"/>
        <v>1</v>
      </c>
      <c r="AF213" s="24">
        <f>ROUND(INDEX($C$2:$C$5,MATCH($E213,$B$2:$B$5,0))*$G213/SUMIFS($G:$G,$E:$E,$E213,$B:$B,$B213,AE:AE,1)*IF(B213=$B$10,0.9,1),0)</f>
        <v>250</v>
      </c>
      <c r="AG213" s="24">
        <f t="shared" si="887"/>
        <v>1</v>
      </c>
      <c r="AH213" s="24">
        <f>ROUND(INDEX($C$2:$C$5,MATCH($E213,$B$2:$B$5,0))*$H213/SUMIFS($H:$H,$E:$E,$E213,$B:$B,$B213,AG:AG,1)*IF(B213=$B$10,0.9,1),0)</f>
        <v>250</v>
      </c>
      <c r="AI213" s="24">
        <f t="shared" ref="AI213:AM213" si="888">IF($L213&lt;=AI$8,1,0)</f>
        <v>1</v>
      </c>
      <c r="AJ213" s="24">
        <f>ROUND(INDEX($C$2:$C$5,MATCH($E213,$B$2:$B$5,0))*$F213/SUMIFS($F:$F,$E:$E,$E213,$B:$B,$B213,AI:AI,1)*IF(B213=$B$10,0.9,1),0)</f>
        <v>250</v>
      </c>
      <c r="AK213" s="24">
        <f t="shared" si="888"/>
        <v>1</v>
      </c>
      <c r="AL213" s="24">
        <f>ROUND(INDEX($C$2:$C$5,MATCH($E213,$B$2:$B$5,0))*$G213/SUMIFS($G:$G,$E:$E,$E213,$B:$B,$B213,AK:AK,1)*IF(B213=$B$10,0.9,1),0)</f>
        <v>250</v>
      </c>
      <c r="AM213" s="24">
        <f t="shared" si="888"/>
        <v>1</v>
      </c>
      <c r="AN213" s="24">
        <f>ROUND(INDEX($C$2:$C$5,MATCH($E213,$B$2:$B$5,0))*$H213/SUMIFS($H:$H,$E:$E,$E213,$B:$B,$B213,AM:AM,1)*IF(B213=$B$10,0.9,1),0)</f>
        <v>250</v>
      </c>
      <c r="AX213" s="4" t="str">
        <f t="shared" si="830"/>
        <v>1,250</v>
      </c>
      <c r="AY213" s="4" t="str">
        <f t="shared" si="831"/>
        <v>0,500</v>
      </c>
      <c r="AZ213" s="4" t="str">
        <f t="shared" si="832"/>
        <v>0,500</v>
      </c>
      <c r="BA213" s="4" t="str">
        <f t="shared" si="833"/>
        <v>0,500</v>
      </c>
      <c r="BB213" s="4" t="str">
        <f t="shared" si="834"/>
        <v>0,500</v>
      </c>
      <c r="BC213" s="4" t="str">
        <f t="shared" si="835"/>
        <v>0,500</v>
      </c>
      <c r="BD213" s="4" t="str">
        <f t="shared" si="836"/>
        <v>0,500</v>
      </c>
      <c r="BE213" s="4" t="str">
        <f t="shared" si="837"/>
        <v>1,250</v>
      </c>
      <c r="BF213" s="4" t="str">
        <f t="shared" si="838"/>
        <v>1,250</v>
      </c>
      <c r="BG213" s="4" t="str">
        <f t="shared" si="839"/>
        <v>1,250</v>
      </c>
      <c r="BH213" s="4" t="str">
        <f t="shared" si="840"/>
        <v>1,250</v>
      </c>
      <c r="BI213" s="4" t="str">
        <f t="shared" si="841"/>
        <v>1,250</v>
      </c>
      <c r="BJ213" s="4" t="str">
        <f t="shared" si="842"/>
        <v>1,250</v>
      </c>
    </row>
    <row r="214" customHeight="1" spans="1:62">
      <c r="A214" s="62">
        <v>1301</v>
      </c>
      <c r="B214" s="63" t="s">
        <v>104</v>
      </c>
      <c r="C214" s="64" t="s">
        <v>218</v>
      </c>
      <c r="D214" s="41" t="s">
        <v>356</v>
      </c>
      <c r="E214" s="65">
        <v>1</v>
      </c>
      <c r="F214" s="35">
        <v>1</v>
      </c>
      <c r="G214" s="35">
        <f t="shared" si="843"/>
        <v>1</v>
      </c>
      <c r="H214" s="35">
        <v>1</v>
      </c>
      <c r="I214" s="35">
        <v>1</v>
      </c>
      <c r="J214" s="35">
        <v>1</v>
      </c>
      <c r="K214" s="35">
        <v>1</v>
      </c>
      <c r="L214" s="35">
        <v>1</v>
      </c>
      <c r="M214" s="35" t="s">
        <v>136</v>
      </c>
      <c r="N214">
        <f t="shared" si="844"/>
        <v>13500</v>
      </c>
      <c r="O214" s="35">
        <v>1</v>
      </c>
      <c r="P214" s="24">
        <f>ROUND(INDEX($C$2:$C$5,MATCH($E214,$B$2:$B$5,0))*$F214/SUMIFS($F:$F,$E:$E,$E214,$B:$B,$B214,O:O,1)*IF(B214=$B$10,0.9,1),0)</f>
        <v>4500</v>
      </c>
      <c r="Q214" s="24">
        <f t="shared" ref="Q214:U214" si="889">IF($L214&lt;=Q$8,1,0)</f>
        <v>1</v>
      </c>
      <c r="R214" s="24">
        <f>ROUND(INDEX($C$2:$C$5,MATCH($E214,$B$2:$B$5,0))*$I214/SUMIFS($I:$I,$E:$E,$E214,$B:$B,$B214,Q:Q,1)*IF(B214=$B$10,0.9,1),0)</f>
        <v>4500</v>
      </c>
      <c r="S214" s="24">
        <f t="shared" si="889"/>
        <v>1</v>
      </c>
      <c r="T214" s="24">
        <f>ROUND(INDEX($C$2:$C$5,MATCH($E214,$B$2:$B$5,0))*$J214/SUMIFS($J:$J,$E:$E,$E214,$B:$B,$B214,S:S,1)*IF(B214=$B$10,0.9,1),0)</f>
        <v>4500</v>
      </c>
      <c r="U214" s="24">
        <f t="shared" si="889"/>
        <v>1</v>
      </c>
      <c r="V214" s="24">
        <f>ROUND(INDEX($C$2:$C$5,MATCH($E214,$B$2:$B$5,0))*$K214/SUMIFS($K:$K,$E:$E,$E214,$B:$B,$B214,U:U,1)*IF(B214=$B$10,0.9,1),0)</f>
        <v>4500</v>
      </c>
      <c r="W214" s="24">
        <f t="shared" ref="W214:AA214" si="890">IF($L214&lt;=W$8,1,0)</f>
        <v>1</v>
      </c>
      <c r="X214" s="24">
        <f>ROUND(INDEX($C$2:$C$5,MATCH($E214,$B$2:$B$5,0))*$F214/SUMIFS($F:$F,$E:$E,$E214,$B:$B,$B214,W:W,1)*IF(B214=$B$10,0.9,1),0)</f>
        <v>4500</v>
      </c>
      <c r="Y214" s="24">
        <f t="shared" si="890"/>
        <v>1</v>
      </c>
      <c r="Z214" s="24">
        <f>ROUND(INDEX($C$2:$C$5,MATCH($E214,$B$2:$B$5,0))*$G214/SUMIFS($G:$G,$E:$E,$E214,$B:$B,$B214,Y:Y,1)*IF(B214=$B$10,0.9,1),0)</f>
        <v>4500</v>
      </c>
      <c r="AA214" s="24">
        <f t="shared" si="890"/>
        <v>1</v>
      </c>
      <c r="AB214" s="24">
        <f>ROUND(INDEX($C$2:$C$5,MATCH($E214,$B$2:$B$5,0))*$H214/SUMIFS($H:$H,$E:$E,$E214,$B:$B,$B214,AA:AA,1)*IF(B214=$B$10,0.9,1),0)</f>
        <v>4500</v>
      </c>
      <c r="AC214" s="24">
        <f t="shared" ref="AC214:AG214" si="891">IF($L214&lt;=AC$8,1,0)</f>
        <v>1</v>
      </c>
      <c r="AD214" s="24">
        <f>ROUND(INDEX($C$2:$C$5,MATCH($E214,$B$2:$B$5,0))*$F214/SUMIFS($F:$F,$E:$E,$E214,$B:$B,$B214,AC:AC,1)*IF(B214=$B$10,0.9,1),0)</f>
        <v>4500</v>
      </c>
      <c r="AE214" s="24">
        <f t="shared" si="891"/>
        <v>1</v>
      </c>
      <c r="AF214" s="24">
        <f>ROUND(INDEX($C$2:$C$5,MATCH($E214,$B$2:$B$5,0))*$G214/SUMIFS($G:$G,$E:$E,$E214,$B:$B,$B214,AE:AE,1)*IF(B214=$B$10,0.9,1),0)</f>
        <v>4500</v>
      </c>
      <c r="AG214" s="24">
        <f t="shared" si="891"/>
        <v>1</v>
      </c>
      <c r="AH214" s="24">
        <f>ROUND(INDEX($C$2:$C$5,MATCH($E214,$B$2:$B$5,0))*$H214/SUMIFS($H:$H,$E:$E,$E214,$B:$B,$B214,AG:AG,1)*IF(B214=$B$10,0.9,1),0)</f>
        <v>4500</v>
      </c>
      <c r="AI214" s="24">
        <f t="shared" ref="AI214:AM214" si="892">IF($L214&lt;=AI$8,1,0)</f>
        <v>1</v>
      </c>
      <c r="AJ214" s="24">
        <f>ROUND(INDEX($C$2:$C$5,MATCH($E214,$B$2:$B$5,0))*$F214/SUMIFS($F:$F,$E:$E,$E214,$B:$B,$B214,AI:AI,1)*IF(B214=$B$10,0.9,1),0)</f>
        <v>4500</v>
      </c>
      <c r="AK214" s="24">
        <f t="shared" si="892"/>
        <v>1</v>
      </c>
      <c r="AL214" s="24">
        <f>ROUND(INDEX($C$2:$C$5,MATCH($E214,$B$2:$B$5,0))*$G214/SUMIFS($G:$G,$E:$E,$E214,$B:$B,$B214,AK:AK,1)*IF(B214=$B$10,0.9,1),0)</f>
        <v>4500</v>
      </c>
      <c r="AM214" s="24">
        <f t="shared" si="892"/>
        <v>1</v>
      </c>
      <c r="AN214" s="24">
        <f>ROUND(INDEX($C$2:$C$5,MATCH($E214,$B$2:$B$5,0))*$H214/SUMIFS($H:$H,$E:$E,$E214,$B:$B,$B214,AM:AM,1)*IF(B214=$B$10,0.9,1),0)</f>
        <v>4500</v>
      </c>
      <c r="AX214" s="4" t="str">
        <f t="shared" si="830"/>
        <v>1,4500</v>
      </c>
      <c r="AY214" s="4" t="str">
        <f t="shared" si="831"/>
        <v>1,4500</v>
      </c>
      <c r="AZ214" s="4" t="str">
        <f t="shared" si="832"/>
        <v>1,4500</v>
      </c>
      <c r="BA214" s="4" t="str">
        <f t="shared" si="833"/>
        <v>1,4500</v>
      </c>
      <c r="BB214" s="4" t="str">
        <f t="shared" si="834"/>
        <v>1,4500</v>
      </c>
      <c r="BC214" s="4" t="str">
        <f t="shared" si="835"/>
        <v>1,4500</v>
      </c>
      <c r="BD214" s="4" t="str">
        <f t="shared" si="836"/>
        <v>1,4500</v>
      </c>
      <c r="BE214" s="4" t="str">
        <f t="shared" si="837"/>
        <v>1,4500</v>
      </c>
      <c r="BF214" s="4" t="str">
        <f t="shared" si="838"/>
        <v>1,4500</v>
      </c>
      <c r="BG214" s="4" t="str">
        <f t="shared" si="839"/>
        <v>1,4500</v>
      </c>
      <c r="BH214" s="4" t="str">
        <f t="shared" si="840"/>
        <v>1,4500</v>
      </c>
      <c r="BI214" s="4" t="str">
        <f t="shared" si="841"/>
        <v>1,4500</v>
      </c>
      <c r="BJ214" s="4" t="str">
        <f t="shared" si="842"/>
        <v>1,4500</v>
      </c>
    </row>
    <row r="215" customHeight="1" spans="1:62">
      <c r="A215" s="62">
        <v>1302</v>
      </c>
      <c r="B215" s="63" t="s">
        <v>104</v>
      </c>
      <c r="C215" s="64" t="s">
        <v>218</v>
      </c>
      <c r="D215" s="41" t="s">
        <v>357</v>
      </c>
      <c r="E215" s="66">
        <v>1</v>
      </c>
      <c r="F215" s="35">
        <v>1</v>
      </c>
      <c r="G215" s="35">
        <f t="shared" si="843"/>
        <v>1</v>
      </c>
      <c r="H215" s="35">
        <v>1</v>
      </c>
      <c r="I215" s="35">
        <v>1</v>
      </c>
      <c r="J215" s="35">
        <v>1</v>
      </c>
      <c r="K215" s="35">
        <v>1</v>
      </c>
      <c r="L215" s="35">
        <v>1</v>
      </c>
      <c r="M215" s="35" t="s">
        <v>136</v>
      </c>
      <c r="N215">
        <f t="shared" si="844"/>
        <v>13500</v>
      </c>
      <c r="O215" s="35">
        <v>1</v>
      </c>
      <c r="P215" s="24">
        <f>ROUND(INDEX($C$2:$C$5,MATCH($E215,$B$2:$B$5,0))*$F215/SUMIFS($F:$F,$E:$E,$E215,$B:$B,$B215,O:O,1)*IF(B215=$B$10,0.9,1),0)</f>
        <v>4500</v>
      </c>
      <c r="Q215" s="24">
        <f t="shared" ref="Q215:U215" si="893">IF($L215&lt;=Q$8,1,0)</f>
        <v>1</v>
      </c>
      <c r="R215" s="24">
        <f>ROUND(INDEX($C$2:$C$5,MATCH($E215,$B$2:$B$5,0))*$I215/SUMIFS($I:$I,$E:$E,$E215,$B:$B,$B215,Q:Q,1)*IF(B215=$B$10,0.9,1),0)</f>
        <v>4500</v>
      </c>
      <c r="S215" s="24">
        <f t="shared" si="893"/>
        <v>1</v>
      </c>
      <c r="T215" s="24">
        <f>ROUND(INDEX($C$2:$C$5,MATCH($E215,$B$2:$B$5,0))*$J215/SUMIFS($J:$J,$E:$E,$E215,$B:$B,$B215,S:S,1)*IF(B215=$B$10,0.9,1),0)</f>
        <v>4500</v>
      </c>
      <c r="U215" s="24">
        <f t="shared" si="893"/>
        <v>1</v>
      </c>
      <c r="V215" s="24">
        <f>ROUND(INDEX($C$2:$C$5,MATCH($E215,$B$2:$B$5,0))*$K215/SUMIFS($K:$K,$E:$E,$E215,$B:$B,$B215,U:U,1)*IF(B215=$B$10,0.9,1),0)</f>
        <v>4500</v>
      </c>
      <c r="W215" s="24">
        <f t="shared" ref="W215:AA215" si="894">IF($L215&lt;=W$8,1,0)</f>
        <v>1</v>
      </c>
      <c r="X215" s="24">
        <f>ROUND(INDEX($C$2:$C$5,MATCH($E215,$B$2:$B$5,0))*$F215/SUMIFS($F:$F,$E:$E,$E215,$B:$B,$B215,W:W,1)*IF(B215=$B$10,0.9,1),0)</f>
        <v>4500</v>
      </c>
      <c r="Y215" s="24">
        <f t="shared" si="894"/>
        <v>1</v>
      </c>
      <c r="Z215" s="24">
        <f>ROUND(INDEX($C$2:$C$5,MATCH($E215,$B$2:$B$5,0))*$G215/SUMIFS($G:$G,$E:$E,$E215,$B:$B,$B215,Y:Y,1)*IF(B215=$B$10,0.9,1),0)</f>
        <v>4500</v>
      </c>
      <c r="AA215" s="24">
        <f t="shared" si="894"/>
        <v>1</v>
      </c>
      <c r="AB215" s="24">
        <f>ROUND(INDEX($C$2:$C$5,MATCH($E215,$B$2:$B$5,0))*$H215/SUMIFS($H:$H,$E:$E,$E215,$B:$B,$B215,AA:AA,1)*IF(B215=$B$10,0.9,1),0)</f>
        <v>4500</v>
      </c>
      <c r="AC215" s="24">
        <f t="shared" ref="AC215:AG215" si="895">IF($L215&lt;=AC$8,1,0)</f>
        <v>1</v>
      </c>
      <c r="AD215" s="24">
        <f>ROUND(INDEX($C$2:$C$5,MATCH($E215,$B$2:$B$5,0))*$F215/SUMIFS($F:$F,$E:$E,$E215,$B:$B,$B215,AC:AC,1)*IF(B215=$B$10,0.9,1),0)</f>
        <v>4500</v>
      </c>
      <c r="AE215" s="24">
        <f t="shared" si="895"/>
        <v>1</v>
      </c>
      <c r="AF215" s="24">
        <f>ROUND(INDEX($C$2:$C$5,MATCH($E215,$B$2:$B$5,0))*$G215/SUMIFS($G:$G,$E:$E,$E215,$B:$B,$B215,AE:AE,1)*IF(B215=$B$10,0.9,1),0)</f>
        <v>4500</v>
      </c>
      <c r="AG215" s="24">
        <f t="shared" si="895"/>
        <v>1</v>
      </c>
      <c r="AH215" s="24">
        <f>ROUND(INDEX($C$2:$C$5,MATCH($E215,$B$2:$B$5,0))*$H215/SUMIFS($H:$H,$E:$E,$E215,$B:$B,$B215,AG:AG,1)*IF(B215=$B$10,0.9,1),0)</f>
        <v>4500</v>
      </c>
      <c r="AI215" s="24">
        <f t="shared" ref="AI215:AM215" si="896">IF($L215&lt;=AI$8,1,0)</f>
        <v>1</v>
      </c>
      <c r="AJ215" s="24">
        <f>ROUND(INDEX($C$2:$C$5,MATCH($E215,$B$2:$B$5,0))*$F215/SUMIFS($F:$F,$E:$E,$E215,$B:$B,$B215,AI:AI,1)*IF(B215=$B$10,0.9,1),0)</f>
        <v>4500</v>
      </c>
      <c r="AK215" s="24">
        <f t="shared" si="896"/>
        <v>1</v>
      </c>
      <c r="AL215" s="24">
        <f>ROUND(INDEX($C$2:$C$5,MATCH($E215,$B$2:$B$5,0))*$G215/SUMIFS($G:$G,$E:$E,$E215,$B:$B,$B215,AK:AK,1)*IF(B215=$B$10,0.9,1),0)</f>
        <v>4500</v>
      </c>
      <c r="AM215" s="24">
        <f t="shared" si="896"/>
        <v>1</v>
      </c>
      <c r="AN215" s="24">
        <f>ROUND(INDEX($C$2:$C$5,MATCH($E215,$B$2:$B$5,0))*$H215/SUMIFS($H:$H,$E:$E,$E215,$B:$B,$B215,AM:AM,1)*IF(B215=$B$10,0.9,1),0)</f>
        <v>4500</v>
      </c>
      <c r="AX215" s="4" t="str">
        <f t="shared" si="830"/>
        <v>1,4500</v>
      </c>
      <c r="AY215" s="4" t="str">
        <f t="shared" si="831"/>
        <v>1,4500</v>
      </c>
      <c r="AZ215" s="4" t="str">
        <f t="shared" si="832"/>
        <v>1,4500</v>
      </c>
      <c r="BA215" s="4" t="str">
        <f t="shared" si="833"/>
        <v>1,4500</v>
      </c>
      <c r="BB215" s="4" t="str">
        <f t="shared" si="834"/>
        <v>1,4500</v>
      </c>
      <c r="BC215" s="4" t="str">
        <f t="shared" si="835"/>
        <v>1,4500</v>
      </c>
      <c r="BD215" s="4" t="str">
        <f t="shared" si="836"/>
        <v>1,4500</v>
      </c>
      <c r="BE215" s="4" t="str">
        <f t="shared" si="837"/>
        <v>1,4500</v>
      </c>
      <c r="BF215" s="4" t="str">
        <f t="shared" si="838"/>
        <v>1,4500</v>
      </c>
      <c r="BG215" s="4" t="str">
        <f t="shared" si="839"/>
        <v>1,4500</v>
      </c>
      <c r="BH215" s="4" t="str">
        <f t="shared" si="840"/>
        <v>1,4500</v>
      </c>
      <c r="BI215" s="4" t="str">
        <f t="shared" si="841"/>
        <v>1,4500</v>
      </c>
      <c r="BJ215" s="4" t="str">
        <f t="shared" si="842"/>
        <v>1,4500</v>
      </c>
    </row>
    <row r="216" customHeight="1" spans="1:62">
      <c r="A216" s="62">
        <v>1303</v>
      </c>
      <c r="B216" s="63" t="s">
        <v>104</v>
      </c>
      <c r="C216" s="64" t="s">
        <v>218</v>
      </c>
      <c r="D216" s="41" t="s">
        <v>361</v>
      </c>
      <c r="E216" s="66">
        <v>1</v>
      </c>
      <c r="F216" s="35">
        <v>1</v>
      </c>
      <c r="G216" s="35">
        <f t="shared" si="843"/>
        <v>1</v>
      </c>
      <c r="H216" s="35">
        <v>1</v>
      </c>
      <c r="I216" s="35">
        <v>1</v>
      </c>
      <c r="J216" s="35">
        <v>1</v>
      </c>
      <c r="K216" s="35">
        <v>1</v>
      </c>
      <c r="L216" s="35">
        <v>1</v>
      </c>
      <c r="M216" s="35"/>
      <c r="N216">
        <f t="shared" si="844"/>
        <v>13500</v>
      </c>
      <c r="O216" s="35">
        <v>1</v>
      </c>
      <c r="P216" s="24">
        <f>ROUND(INDEX($C$2:$C$5,MATCH($E216,$B$2:$B$5,0))*$F216/SUMIFS($F:$F,$E:$E,$E216,$B:$B,$B216,O:O,1)*IF(B216=$B$10,0.9,1),0)</f>
        <v>4500</v>
      </c>
      <c r="Q216" s="24">
        <f t="shared" ref="Q216:U216" si="897">IF($L216&lt;=Q$8,1,0)</f>
        <v>1</v>
      </c>
      <c r="R216" s="24">
        <f>ROUND(INDEX($C$2:$C$5,MATCH($E216,$B$2:$B$5,0))*$I216/SUMIFS($I:$I,$E:$E,$E216,$B:$B,$B216,Q:Q,1)*IF(B216=$B$10,0.9,1),0)</f>
        <v>4500</v>
      </c>
      <c r="S216" s="24">
        <f t="shared" si="897"/>
        <v>1</v>
      </c>
      <c r="T216" s="24">
        <f>ROUND(INDEX($C$2:$C$5,MATCH($E216,$B$2:$B$5,0))*$J216/SUMIFS($J:$J,$E:$E,$E216,$B:$B,$B216,S:S,1)*IF(B216=$B$10,0.9,1),0)</f>
        <v>4500</v>
      </c>
      <c r="U216" s="24">
        <f t="shared" si="897"/>
        <v>1</v>
      </c>
      <c r="V216" s="24">
        <f>ROUND(INDEX($C$2:$C$5,MATCH($E216,$B$2:$B$5,0))*$K216/SUMIFS($K:$K,$E:$E,$E216,$B:$B,$B216,U:U,1)*IF(B216=$B$10,0.9,1),0)</f>
        <v>4500</v>
      </c>
      <c r="W216" s="24">
        <f t="shared" ref="W216:AA216" si="898">IF($L216&lt;=W$8,1,0)</f>
        <v>1</v>
      </c>
      <c r="X216" s="24">
        <f>ROUND(INDEX($C$2:$C$5,MATCH($E216,$B$2:$B$5,0))*$F216/SUMIFS($F:$F,$E:$E,$E216,$B:$B,$B216,W:W,1)*IF(B216=$B$10,0.9,1),0)</f>
        <v>4500</v>
      </c>
      <c r="Y216" s="24">
        <f t="shared" si="898"/>
        <v>1</v>
      </c>
      <c r="Z216" s="24">
        <f>ROUND(INDEX($C$2:$C$5,MATCH($E216,$B$2:$B$5,0))*$G216/SUMIFS($G:$G,$E:$E,$E216,$B:$B,$B216,Y:Y,1)*IF(B216=$B$10,0.9,1),0)</f>
        <v>4500</v>
      </c>
      <c r="AA216" s="24">
        <f t="shared" si="898"/>
        <v>1</v>
      </c>
      <c r="AB216" s="24">
        <f>ROUND(INDEX($C$2:$C$5,MATCH($E216,$B$2:$B$5,0))*$H216/SUMIFS($H:$H,$E:$E,$E216,$B:$B,$B216,AA:AA,1)*IF(B216=$B$10,0.9,1),0)</f>
        <v>4500</v>
      </c>
      <c r="AC216" s="24">
        <f t="shared" ref="AC216:AG216" si="899">IF($L216&lt;=AC$8,1,0)</f>
        <v>1</v>
      </c>
      <c r="AD216" s="24">
        <f>ROUND(INDEX($C$2:$C$5,MATCH($E216,$B$2:$B$5,0))*$F216/SUMIFS($F:$F,$E:$E,$E216,$B:$B,$B216,AC:AC,1)*IF(B216=$B$10,0.9,1),0)</f>
        <v>4500</v>
      </c>
      <c r="AE216" s="24">
        <f t="shared" si="899"/>
        <v>1</v>
      </c>
      <c r="AF216" s="24">
        <f>ROUND(INDEX($C$2:$C$5,MATCH($E216,$B$2:$B$5,0))*$G216/SUMIFS($G:$G,$E:$E,$E216,$B:$B,$B216,AE:AE,1)*IF(B216=$B$10,0.9,1),0)</f>
        <v>4500</v>
      </c>
      <c r="AG216" s="24">
        <f t="shared" si="899"/>
        <v>1</v>
      </c>
      <c r="AH216" s="24">
        <f>ROUND(INDEX($C$2:$C$5,MATCH($E216,$B$2:$B$5,0))*$H216/SUMIFS($H:$H,$E:$E,$E216,$B:$B,$B216,AG:AG,1)*IF(B216=$B$10,0.9,1),0)</f>
        <v>4500</v>
      </c>
      <c r="AI216" s="24">
        <f t="shared" ref="AI216:AM216" si="900">IF($L216&lt;=AI$8,1,0)</f>
        <v>1</v>
      </c>
      <c r="AJ216" s="24">
        <f>ROUND(INDEX($C$2:$C$5,MATCH($E216,$B$2:$B$5,0))*$F216/SUMIFS($F:$F,$E:$E,$E216,$B:$B,$B216,AI:AI,1)*IF(B216=$B$10,0.9,1),0)</f>
        <v>4500</v>
      </c>
      <c r="AK216" s="24">
        <f t="shared" si="900"/>
        <v>1</v>
      </c>
      <c r="AL216" s="24">
        <f>ROUND(INDEX($C$2:$C$5,MATCH($E216,$B$2:$B$5,0))*$G216/SUMIFS($G:$G,$E:$E,$E216,$B:$B,$B216,AK:AK,1)*IF(B216=$B$10,0.9,1),0)</f>
        <v>4500</v>
      </c>
      <c r="AM216" s="24">
        <f t="shared" si="900"/>
        <v>1</v>
      </c>
      <c r="AN216" s="24">
        <f>ROUND(INDEX($C$2:$C$5,MATCH($E216,$B$2:$B$5,0))*$H216/SUMIFS($H:$H,$E:$E,$E216,$B:$B,$B216,AM:AM,1)*IF(B216=$B$10,0.9,1),0)</f>
        <v>4500</v>
      </c>
      <c r="AX216" s="4" t="str">
        <f t="shared" si="830"/>
        <v>1,4500</v>
      </c>
      <c r="AY216" s="4" t="str">
        <f t="shared" si="831"/>
        <v>1,4500</v>
      </c>
      <c r="AZ216" s="4" t="str">
        <f t="shared" si="832"/>
        <v>1,4500</v>
      </c>
      <c r="BA216" s="4" t="str">
        <f t="shared" si="833"/>
        <v>1,4500</v>
      </c>
      <c r="BB216" s="4" t="str">
        <f t="shared" si="834"/>
        <v>1,4500</v>
      </c>
      <c r="BC216" s="4" t="str">
        <f t="shared" si="835"/>
        <v>1,4500</v>
      </c>
      <c r="BD216" s="4" t="str">
        <f t="shared" si="836"/>
        <v>1,4500</v>
      </c>
      <c r="BE216" s="4" t="str">
        <f t="shared" si="837"/>
        <v>1,4500</v>
      </c>
      <c r="BF216" s="4" t="str">
        <f t="shared" si="838"/>
        <v>1,4500</v>
      </c>
      <c r="BG216" s="4" t="str">
        <f t="shared" si="839"/>
        <v>1,4500</v>
      </c>
      <c r="BH216" s="4" t="str">
        <f t="shared" si="840"/>
        <v>1,4500</v>
      </c>
      <c r="BI216" s="4" t="str">
        <f t="shared" si="841"/>
        <v>1,4500</v>
      </c>
      <c r="BJ216" s="4" t="str">
        <f t="shared" si="842"/>
        <v>1,4500</v>
      </c>
    </row>
    <row r="217" customHeight="1" spans="1:62">
      <c r="A217" s="62">
        <v>1311</v>
      </c>
      <c r="B217" s="63" t="s">
        <v>104</v>
      </c>
      <c r="C217" s="64" t="s">
        <v>218</v>
      </c>
      <c r="D217" s="44" t="s">
        <v>362</v>
      </c>
      <c r="E217" s="66">
        <v>2</v>
      </c>
      <c r="F217" s="35">
        <v>1</v>
      </c>
      <c r="G217" s="35">
        <f t="shared" si="843"/>
        <v>1</v>
      </c>
      <c r="H217" s="35">
        <v>1</v>
      </c>
      <c r="I217" s="35">
        <v>1</v>
      </c>
      <c r="J217" s="35">
        <v>1</v>
      </c>
      <c r="K217" s="35">
        <v>1</v>
      </c>
      <c r="L217" s="35">
        <v>1</v>
      </c>
      <c r="M217" s="35"/>
      <c r="N217">
        <f t="shared" si="844"/>
        <v>4500</v>
      </c>
      <c r="O217" s="35">
        <v>1</v>
      </c>
      <c r="P217" s="24">
        <f>ROUND(INDEX($C$2:$C$5,MATCH($E217,$B$2:$B$5,0))*$F217/SUMIFS($F:$F,$E:$E,$E217,$B:$B,$B217,O:O,1)*IF(B217=$B$10,0.9,1),0)</f>
        <v>750</v>
      </c>
      <c r="Q217" s="24">
        <f t="shared" ref="Q217:U217" si="901">IF($L217&lt;=Q$8,1,0)</f>
        <v>1</v>
      </c>
      <c r="R217" s="24">
        <f>ROUND(INDEX($C$2:$C$5,MATCH($E217,$B$2:$B$5,0))*$I217/SUMIFS($I:$I,$E:$E,$E217,$B:$B,$B217,Q:Q,1)*IF(B217=$B$10,0.9,1),0)</f>
        <v>900</v>
      </c>
      <c r="S217" s="24">
        <f t="shared" si="901"/>
        <v>1</v>
      </c>
      <c r="T217" s="24">
        <f>ROUND(INDEX($C$2:$C$5,MATCH($E217,$B$2:$B$5,0))*$J217/SUMIFS($J:$J,$E:$E,$E217,$B:$B,$B217,S:S,1)*IF(B217=$B$10,0.9,1),0)</f>
        <v>900</v>
      </c>
      <c r="U217" s="24">
        <f t="shared" si="901"/>
        <v>1</v>
      </c>
      <c r="V217" s="24">
        <f>ROUND(INDEX($C$2:$C$5,MATCH($E217,$B$2:$B$5,0))*$K217/SUMIFS($K:$K,$E:$E,$E217,$B:$B,$B217,U:U,1)*IF(B217=$B$10,0.9,1),0)</f>
        <v>900</v>
      </c>
      <c r="W217" s="24">
        <f t="shared" ref="W217:AA217" si="902">IF($L217&lt;=W$8,1,0)</f>
        <v>1</v>
      </c>
      <c r="X217" s="24">
        <f>ROUND(INDEX($C$2:$C$5,MATCH($E217,$B$2:$B$5,0))*$F217/SUMIFS($F:$F,$E:$E,$E217,$B:$B,$B217,W:W,1)*IF(B217=$B$10,0.9,1),0)</f>
        <v>750</v>
      </c>
      <c r="Y217" s="24">
        <f t="shared" si="902"/>
        <v>1</v>
      </c>
      <c r="Z217" s="24">
        <f>ROUND(INDEX($C$2:$C$5,MATCH($E217,$B$2:$B$5,0))*$G217/SUMIFS($G:$G,$E:$E,$E217,$B:$B,$B217,Y:Y,1)*IF(B217=$B$10,0.9,1),0)</f>
        <v>750</v>
      </c>
      <c r="AA217" s="24">
        <f t="shared" si="902"/>
        <v>1</v>
      </c>
      <c r="AB217" s="24">
        <f>ROUND(INDEX($C$2:$C$5,MATCH($E217,$B$2:$B$5,0))*$H217/SUMIFS($H:$H,$E:$E,$E217,$B:$B,$B217,AA:AA,1)*IF(B217=$B$10,0.9,1),0)</f>
        <v>750</v>
      </c>
      <c r="AC217" s="24">
        <f t="shared" ref="AC217:AG217" si="903">IF($L217&lt;=AC$8,1,0)</f>
        <v>1</v>
      </c>
      <c r="AD217" s="24">
        <f>ROUND(INDEX($C$2:$C$5,MATCH($E217,$B$2:$B$5,0))*$F217/SUMIFS($F:$F,$E:$E,$E217,$B:$B,$B217,AC:AC,1)*IF(B217=$B$10,0.9,1),0)</f>
        <v>750</v>
      </c>
      <c r="AE217" s="24">
        <f t="shared" si="903"/>
        <v>1</v>
      </c>
      <c r="AF217" s="24">
        <f>ROUND(INDEX($C$2:$C$5,MATCH($E217,$B$2:$B$5,0))*$G217/SUMIFS($G:$G,$E:$E,$E217,$B:$B,$B217,AE:AE,1)*IF(B217=$B$10,0.9,1),0)</f>
        <v>750</v>
      </c>
      <c r="AG217" s="24">
        <f t="shared" si="903"/>
        <v>1</v>
      </c>
      <c r="AH217" s="24">
        <f>ROUND(INDEX($C$2:$C$5,MATCH($E217,$B$2:$B$5,0))*$H217/SUMIFS($H:$H,$E:$E,$E217,$B:$B,$B217,AG:AG,1)*IF(B217=$B$10,0.9,1),0)</f>
        <v>750</v>
      </c>
      <c r="AI217" s="24">
        <f t="shared" ref="AI217:AM217" si="904">IF($L217&lt;=AI$8,1,0)</f>
        <v>1</v>
      </c>
      <c r="AJ217" s="24">
        <f>ROUND(INDEX($C$2:$C$5,MATCH($E217,$B$2:$B$5,0))*$F217/SUMIFS($F:$F,$E:$E,$E217,$B:$B,$B217,AI:AI,1)*IF(B217=$B$10,0.9,1),0)</f>
        <v>750</v>
      </c>
      <c r="AK217" s="24">
        <f t="shared" si="904"/>
        <v>1</v>
      </c>
      <c r="AL217" s="24">
        <f>ROUND(INDEX($C$2:$C$5,MATCH($E217,$B$2:$B$5,0))*$G217/SUMIFS($G:$G,$E:$E,$E217,$B:$B,$B217,AK:AK,1)*IF(B217=$B$10,0.9,1),0)</f>
        <v>750</v>
      </c>
      <c r="AM217" s="24">
        <f t="shared" si="904"/>
        <v>1</v>
      </c>
      <c r="AN217" s="24">
        <f>ROUND(INDEX($C$2:$C$5,MATCH($E217,$B$2:$B$5,0))*$H217/SUMIFS($H:$H,$E:$E,$E217,$B:$B,$B217,AM:AM,1)*IF(B217=$B$10,0.9,1),0)</f>
        <v>750</v>
      </c>
      <c r="AX217" s="4" t="str">
        <f t="shared" si="830"/>
        <v>1,750</v>
      </c>
      <c r="AY217" s="4" t="str">
        <f t="shared" si="831"/>
        <v>1,900</v>
      </c>
      <c r="AZ217" s="4" t="str">
        <f t="shared" si="832"/>
        <v>1,900</v>
      </c>
      <c r="BA217" s="4" t="str">
        <f t="shared" si="833"/>
        <v>1,900</v>
      </c>
      <c r="BB217" s="4" t="str">
        <f t="shared" si="834"/>
        <v>1,750</v>
      </c>
      <c r="BC217" s="4" t="str">
        <f t="shared" si="835"/>
        <v>1,750</v>
      </c>
      <c r="BD217" s="4" t="str">
        <f t="shared" si="836"/>
        <v>1,750</v>
      </c>
      <c r="BE217" s="4" t="str">
        <f t="shared" si="837"/>
        <v>1,750</v>
      </c>
      <c r="BF217" s="4" t="str">
        <f t="shared" si="838"/>
        <v>1,750</v>
      </c>
      <c r="BG217" s="4" t="str">
        <f t="shared" si="839"/>
        <v>1,750</v>
      </c>
      <c r="BH217" s="4" t="str">
        <f t="shared" si="840"/>
        <v>1,750</v>
      </c>
      <c r="BI217" s="4" t="str">
        <f t="shared" si="841"/>
        <v>1,750</v>
      </c>
      <c r="BJ217" s="4" t="str">
        <f t="shared" si="842"/>
        <v>1,750</v>
      </c>
    </row>
    <row r="218" customHeight="1" spans="1:62">
      <c r="A218" s="62">
        <v>1312</v>
      </c>
      <c r="B218" s="63" t="s">
        <v>104</v>
      </c>
      <c r="C218" s="64" t="s">
        <v>218</v>
      </c>
      <c r="D218" s="44" t="s">
        <v>363</v>
      </c>
      <c r="E218" s="67">
        <v>2</v>
      </c>
      <c r="F218" s="35">
        <v>1</v>
      </c>
      <c r="G218" s="35">
        <f t="shared" si="843"/>
        <v>1</v>
      </c>
      <c r="H218" s="35">
        <v>1</v>
      </c>
      <c r="I218" s="35">
        <v>1</v>
      </c>
      <c r="J218" s="35">
        <v>1</v>
      </c>
      <c r="K218" s="35">
        <v>1</v>
      </c>
      <c r="L218" s="35">
        <v>1</v>
      </c>
      <c r="M218" s="35"/>
      <c r="N218">
        <f t="shared" si="844"/>
        <v>4500</v>
      </c>
      <c r="O218" s="35">
        <v>1</v>
      </c>
      <c r="P218" s="24">
        <f>ROUND(INDEX($C$2:$C$5,MATCH($E218,$B$2:$B$5,0))*$F218/SUMIFS($F:$F,$E:$E,$E218,$B:$B,$B218,O:O,1)*IF(B218=$B$10,0.9,1),0)</f>
        <v>750</v>
      </c>
      <c r="Q218" s="24">
        <f t="shared" ref="Q218:U218" si="905">IF($L218&lt;=Q$8,1,0)</f>
        <v>1</v>
      </c>
      <c r="R218" s="24">
        <f>ROUND(INDEX($C$2:$C$5,MATCH($E218,$B$2:$B$5,0))*$I218/SUMIFS($I:$I,$E:$E,$E218,$B:$B,$B218,Q:Q,1)*IF(B218=$B$10,0.9,1),0)</f>
        <v>900</v>
      </c>
      <c r="S218" s="24">
        <f t="shared" si="905"/>
        <v>1</v>
      </c>
      <c r="T218" s="24">
        <f>ROUND(INDEX($C$2:$C$5,MATCH($E218,$B$2:$B$5,0))*$J218/SUMIFS($J:$J,$E:$E,$E218,$B:$B,$B218,S:S,1)*IF(B218=$B$10,0.9,1),0)</f>
        <v>900</v>
      </c>
      <c r="U218" s="24">
        <f t="shared" si="905"/>
        <v>1</v>
      </c>
      <c r="V218" s="24">
        <f>ROUND(INDEX($C$2:$C$5,MATCH($E218,$B$2:$B$5,0))*$K218/SUMIFS($K:$K,$E:$E,$E218,$B:$B,$B218,U:U,1)*IF(B218=$B$10,0.9,1),0)</f>
        <v>900</v>
      </c>
      <c r="W218" s="24">
        <f t="shared" ref="W218:AA218" si="906">IF($L218&lt;=W$8,1,0)</f>
        <v>1</v>
      </c>
      <c r="X218" s="24">
        <f>ROUND(INDEX($C$2:$C$5,MATCH($E218,$B$2:$B$5,0))*$F218/SUMIFS($F:$F,$E:$E,$E218,$B:$B,$B218,W:W,1)*IF(B218=$B$10,0.9,1),0)</f>
        <v>750</v>
      </c>
      <c r="Y218" s="24">
        <f t="shared" si="906"/>
        <v>1</v>
      </c>
      <c r="Z218" s="24">
        <f>ROUND(INDEX($C$2:$C$5,MATCH($E218,$B$2:$B$5,0))*$G218/SUMIFS($G:$G,$E:$E,$E218,$B:$B,$B218,Y:Y,1)*IF(B218=$B$10,0.9,1),0)</f>
        <v>750</v>
      </c>
      <c r="AA218" s="24">
        <f t="shared" si="906"/>
        <v>1</v>
      </c>
      <c r="AB218" s="24">
        <f>ROUND(INDEX($C$2:$C$5,MATCH($E218,$B$2:$B$5,0))*$H218/SUMIFS($H:$H,$E:$E,$E218,$B:$B,$B218,AA:AA,1)*IF(B218=$B$10,0.9,1),0)</f>
        <v>750</v>
      </c>
      <c r="AC218" s="24">
        <f t="shared" ref="AC218:AG218" si="907">IF($L218&lt;=AC$8,1,0)</f>
        <v>1</v>
      </c>
      <c r="AD218" s="24">
        <f>ROUND(INDEX($C$2:$C$5,MATCH($E218,$B$2:$B$5,0))*$F218/SUMIFS($F:$F,$E:$E,$E218,$B:$B,$B218,AC:AC,1)*IF(B218=$B$10,0.9,1),0)</f>
        <v>750</v>
      </c>
      <c r="AE218" s="24">
        <f t="shared" si="907"/>
        <v>1</v>
      </c>
      <c r="AF218" s="24">
        <f>ROUND(INDEX($C$2:$C$5,MATCH($E218,$B$2:$B$5,0))*$G218/SUMIFS($G:$G,$E:$E,$E218,$B:$B,$B218,AE:AE,1)*IF(B218=$B$10,0.9,1),0)</f>
        <v>750</v>
      </c>
      <c r="AG218" s="24">
        <f t="shared" si="907"/>
        <v>1</v>
      </c>
      <c r="AH218" s="24">
        <f>ROUND(INDEX($C$2:$C$5,MATCH($E218,$B$2:$B$5,0))*$H218/SUMIFS($H:$H,$E:$E,$E218,$B:$B,$B218,AG:AG,1)*IF(B218=$B$10,0.9,1),0)</f>
        <v>750</v>
      </c>
      <c r="AI218" s="24">
        <f t="shared" ref="AI218:AM218" si="908">IF($L218&lt;=AI$8,1,0)</f>
        <v>1</v>
      </c>
      <c r="AJ218" s="24">
        <f>ROUND(INDEX($C$2:$C$5,MATCH($E218,$B$2:$B$5,0))*$F218/SUMIFS($F:$F,$E:$E,$E218,$B:$B,$B218,AI:AI,1)*IF(B218=$B$10,0.9,1),0)</f>
        <v>750</v>
      </c>
      <c r="AK218" s="24">
        <f t="shared" si="908"/>
        <v>1</v>
      </c>
      <c r="AL218" s="24">
        <f>ROUND(INDEX($C$2:$C$5,MATCH($E218,$B$2:$B$5,0))*$G218/SUMIFS($G:$G,$E:$E,$E218,$B:$B,$B218,AK:AK,1)*IF(B218=$B$10,0.9,1),0)</f>
        <v>750</v>
      </c>
      <c r="AM218" s="24">
        <f t="shared" si="908"/>
        <v>1</v>
      </c>
      <c r="AN218" s="24">
        <f>ROUND(INDEX($C$2:$C$5,MATCH($E218,$B$2:$B$5,0))*$H218/SUMIFS($H:$H,$E:$E,$E218,$B:$B,$B218,AM:AM,1)*IF(B218=$B$10,0.9,1),0)</f>
        <v>750</v>
      </c>
      <c r="AX218" s="4" t="str">
        <f t="shared" si="830"/>
        <v>1,750</v>
      </c>
      <c r="AY218" s="4" t="str">
        <f t="shared" si="831"/>
        <v>1,900</v>
      </c>
      <c r="AZ218" s="4" t="str">
        <f t="shared" si="832"/>
        <v>1,900</v>
      </c>
      <c r="BA218" s="4" t="str">
        <f t="shared" si="833"/>
        <v>1,900</v>
      </c>
      <c r="BB218" s="4" t="str">
        <f t="shared" si="834"/>
        <v>1,750</v>
      </c>
      <c r="BC218" s="4" t="str">
        <f t="shared" si="835"/>
        <v>1,750</v>
      </c>
      <c r="BD218" s="4" t="str">
        <f t="shared" si="836"/>
        <v>1,750</v>
      </c>
      <c r="BE218" s="4" t="str">
        <f t="shared" si="837"/>
        <v>1,750</v>
      </c>
      <c r="BF218" s="4" t="str">
        <f t="shared" si="838"/>
        <v>1,750</v>
      </c>
      <c r="BG218" s="4" t="str">
        <f t="shared" si="839"/>
        <v>1,750</v>
      </c>
      <c r="BH218" s="4" t="str">
        <f t="shared" si="840"/>
        <v>1,750</v>
      </c>
      <c r="BI218" s="4" t="str">
        <f t="shared" si="841"/>
        <v>1,750</v>
      </c>
      <c r="BJ218" s="4" t="str">
        <f t="shared" si="842"/>
        <v>1,750</v>
      </c>
    </row>
    <row r="219" customHeight="1" spans="1:62">
      <c r="A219" s="62">
        <v>1313</v>
      </c>
      <c r="B219" s="63" t="s">
        <v>104</v>
      </c>
      <c r="C219" s="64" t="s">
        <v>218</v>
      </c>
      <c r="D219" s="44" t="s">
        <v>364</v>
      </c>
      <c r="E219" s="67">
        <v>2</v>
      </c>
      <c r="F219" s="35">
        <v>1</v>
      </c>
      <c r="G219" s="35">
        <f t="shared" si="843"/>
        <v>1</v>
      </c>
      <c r="H219" s="35">
        <v>1</v>
      </c>
      <c r="I219" s="35">
        <v>1</v>
      </c>
      <c r="J219" s="35">
        <v>1</v>
      </c>
      <c r="K219" s="35">
        <v>1</v>
      </c>
      <c r="L219" s="35">
        <v>1</v>
      </c>
      <c r="M219" s="35"/>
      <c r="N219">
        <f t="shared" si="844"/>
        <v>4500</v>
      </c>
      <c r="O219" s="35">
        <v>1</v>
      </c>
      <c r="P219" s="24">
        <f>ROUND(INDEX($C$2:$C$5,MATCH($E219,$B$2:$B$5,0))*$F219/SUMIFS($F:$F,$E:$E,$E219,$B:$B,$B219,O:O,1)*IF(B219=$B$10,0.9,1),0)</f>
        <v>750</v>
      </c>
      <c r="Q219" s="24">
        <f t="shared" ref="Q219:U219" si="909">IF($L219&lt;=Q$8,1,0)</f>
        <v>1</v>
      </c>
      <c r="R219" s="24">
        <f>ROUND(INDEX($C$2:$C$5,MATCH($E219,$B$2:$B$5,0))*$I219/SUMIFS($I:$I,$E:$E,$E219,$B:$B,$B219,Q:Q,1)*IF(B219=$B$10,0.9,1),0)</f>
        <v>900</v>
      </c>
      <c r="S219" s="24">
        <f t="shared" si="909"/>
        <v>1</v>
      </c>
      <c r="T219" s="24">
        <f>ROUND(INDEX($C$2:$C$5,MATCH($E219,$B$2:$B$5,0))*$J219/SUMIFS($J:$J,$E:$E,$E219,$B:$B,$B219,S:S,1)*IF(B219=$B$10,0.9,1),0)</f>
        <v>900</v>
      </c>
      <c r="U219" s="24">
        <f t="shared" si="909"/>
        <v>1</v>
      </c>
      <c r="V219" s="24">
        <f>ROUND(INDEX($C$2:$C$5,MATCH($E219,$B$2:$B$5,0))*$K219/SUMIFS($K:$K,$E:$E,$E219,$B:$B,$B219,U:U,1)*IF(B219=$B$10,0.9,1),0)</f>
        <v>900</v>
      </c>
      <c r="W219" s="24">
        <f t="shared" ref="W219:AA219" si="910">IF($L219&lt;=W$8,1,0)</f>
        <v>1</v>
      </c>
      <c r="X219" s="24">
        <f>ROUND(INDEX($C$2:$C$5,MATCH($E219,$B$2:$B$5,0))*$F219/SUMIFS($F:$F,$E:$E,$E219,$B:$B,$B219,W:W,1)*IF(B219=$B$10,0.9,1),0)</f>
        <v>750</v>
      </c>
      <c r="Y219" s="24">
        <f t="shared" si="910"/>
        <v>1</v>
      </c>
      <c r="Z219" s="24">
        <f>ROUND(INDEX($C$2:$C$5,MATCH($E219,$B$2:$B$5,0))*$G219/SUMIFS($G:$G,$E:$E,$E219,$B:$B,$B219,Y:Y,1)*IF(B219=$B$10,0.9,1),0)</f>
        <v>750</v>
      </c>
      <c r="AA219" s="24">
        <f t="shared" si="910"/>
        <v>1</v>
      </c>
      <c r="AB219" s="24">
        <f>ROUND(INDEX($C$2:$C$5,MATCH($E219,$B$2:$B$5,0))*$H219/SUMIFS($H:$H,$E:$E,$E219,$B:$B,$B219,AA:AA,1)*IF(B219=$B$10,0.9,1),0)</f>
        <v>750</v>
      </c>
      <c r="AC219" s="24">
        <f t="shared" ref="AC219:AG219" si="911">IF($L219&lt;=AC$8,1,0)</f>
        <v>1</v>
      </c>
      <c r="AD219" s="24">
        <f>ROUND(INDEX($C$2:$C$5,MATCH($E219,$B$2:$B$5,0))*$F219/SUMIFS($F:$F,$E:$E,$E219,$B:$B,$B219,AC:AC,1)*IF(B219=$B$10,0.9,1),0)</f>
        <v>750</v>
      </c>
      <c r="AE219" s="24">
        <f t="shared" si="911"/>
        <v>1</v>
      </c>
      <c r="AF219" s="24">
        <f>ROUND(INDEX($C$2:$C$5,MATCH($E219,$B$2:$B$5,0))*$G219/SUMIFS($G:$G,$E:$E,$E219,$B:$B,$B219,AE:AE,1)*IF(B219=$B$10,0.9,1),0)</f>
        <v>750</v>
      </c>
      <c r="AG219" s="24">
        <f t="shared" si="911"/>
        <v>1</v>
      </c>
      <c r="AH219" s="24">
        <f>ROUND(INDEX($C$2:$C$5,MATCH($E219,$B$2:$B$5,0))*$H219/SUMIFS($H:$H,$E:$E,$E219,$B:$B,$B219,AG:AG,1)*IF(B219=$B$10,0.9,1),0)</f>
        <v>750</v>
      </c>
      <c r="AI219" s="24">
        <f t="shared" ref="AI219:AM219" si="912">IF($L219&lt;=AI$8,1,0)</f>
        <v>1</v>
      </c>
      <c r="AJ219" s="24">
        <f>ROUND(INDEX($C$2:$C$5,MATCH($E219,$B$2:$B$5,0))*$F219/SUMIFS($F:$F,$E:$E,$E219,$B:$B,$B219,AI:AI,1)*IF(B219=$B$10,0.9,1),0)</f>
        <v>750</v>
      </c>
      <c r="AK219" s="24">
        <f t="shared" si="912"/>
        <v>1</v>
      </c>
      <c r="AL219" s="24">
        <f>ROUND(INDEX($C$2:$C$5,MATCH($E219,$B$2:$B$5,0))*$G219/SUMIFS($G:$G,$E:$E,$E219,$B:$B,$B219,AK:AK,1)*IF(B219=$B$10,0.9,1),0)</f>
        <v>750</v>
      </c>
      <c r="AM219" s="24">
        <f t="shared" si="912"/>
        <v>1</v>
      </c>
      <c r="AN219" s="24">
        <f>ROUND(INDEX($C$2:$C$5,MATCH($E219,$B$2:$B$5,0))*$H219/SUMIFS($H:$H,$E:$E,$E219,$B:$B,$B219,AM:AM,1)*IF(B219=$B$10,0.9,1),0)</f>
        <v>750</v>
      </c>
      <c r="AX219" s="4" t="str">
        <f t="shared" si="830"/>
        <v>1,750</v>
      </c>
      <c r="AY219" s="4" t="str">
        <f t="shared" si="831"/>
        <v>1,900</v>
      </c>
      <c r="AZ219" s="4" t="str">
        <f t="shared" si="832"/>
        <v>1,900</v>
      </c>
      <c r="BA219" s="4" t="str">
        <f t="shared" si="833"/>
        <v>1,900</v>
      </c>
      <c r="BB219" s="4" t="str">
        <f t="shared" si="834"/>
        <v>1,750</v>
      </c>
      <c r="BC219" s="4" t="str">
        <f t="shared" si="835"/>
        <v>1,750</v>
      </c>
      <c r="BD219" s="4" t="str">
        <f t="shared" si="836"/>
        <v>1,750</v>
      </c>
      <c r="BE219" s="4" t="str">
        <f t="shared" si="837"/>
        <v>1,750</v>
      </c>
      <c r="BF219" s="4" t="str">
        <f t="shared" si="838"/>
        <v>1,750</v>
      </c>
      <c r="BG219" s="4" t="str">
        <f t="shared" si="839"/>
        <v>1,750</v>
      </c>
      <c r="BH219" s="4" t="str">
        <f t="shared" si="840"/>
        <v>1,750</v>
      </c>
      <c r="BI219" s="4" t="str">
        <f t="shared" si="841"/>
        <v>1,750</v>
      </c>
      <c r="BJ219" s="4" t="str">
        <f t="shared" si="842"/>
        <v>1,750</v>
      </c>
    </row>
    <row r="220" customHeight="1" spans="1:62">
      <c r="A220" s="62">
        <v>1314</v>
      </c>
      <c r="B220" s="63" t="s">
        <v>104</v>
      </c>
      <c r="C220" s="64"/>
      <c r="D220" s="44" t="s">
        <v>365</v>
      </c>
      <c r="E220" s="62">
        <v>2</v>
      </c>
      <c r="F220" s="35">
        <v>1</v>
      </c>
      <c r="G220" s="35">
        <f t="shared" si="843"/>
        <v>1</v>
      </c>
      <c r="H220" s="35">
        <v>1</v>
      </c>
      <c r="I220" s="35">
        <v>1</v>
      </c>
      <c r="J220" s="35">
        <v>1</v>
      </c>
      <c r="K220" s="35">
        <v>1</v>
      </c>
      <c r="L220" s="35">
        <v>1</v>
      </c>
      <c r="M220" s="35"/>
      <c r="N220">
        <f t="shared" si="844"/>
        <v>4500</v>
      </c>
      <c r="O220" s="35">
        <v>1</v>
      </c>
      <c r="P220" s="24">
        <f>ROUND(INDEX($C$2:$C$5,MATCH($E220,$B$2:$B$5,0))*$F220/SUMIFS($F:$F,$E:$E,$E220,$B:$B,$B220,O:O,1)*IF(B220=$B$10,0.9,1),0)</f>
        <v>750</v>
      </c>
      <c r="Q220" s="24">
        <f t="shared" ref="Q220:U220" si="913">IF($L220&lt;=Q$8,1,0)</f>
        <v>1</v>
      </c>
      <c r="R220" s="24">
        <f>ROUND(INDEX($C$2:$C$5,MATCH($E220,$B$2:$B$5,0))*$I220/SUMIFS($I:$I,$E:$E,$E220,$B:$B,$B220,Q:Q,1)*IF(B220=$B$10,0.9,1),0)</f>
        <v>900</v>
      </c>
      <c r="S220" s="24">
        <f t="shared" si="913"/>
        <v>1</v>
      </c>
      <c r="T220" s="24">
        <f>ROUND(INDEX($C$2:$C$5,MATCH($E220,$B$2:$B$5,0))*$J220/SUMIFS($J:$J,$E:$E,$E220,$B:$B,$B220,S:S,1)*IF(B220=$B$10,0.9,1),0)</f>
        <v>900</v>
      </c>
      <c r="U220" s="24">
        <f t="shared" si="913"/>
        <v>1</v>
      </c>
      <c r="V220" s="24">
        <f>ROUND(INDEX($C$2:$C$5,MATCH($E220,$B$2:$B$5,0))*$K220/SUMIFS($K:$K,$E:$E,$E220,$B:$B,$B220,U:U,1)*IF(B220=$B$10,0.9,1),0)</f>
        <v>900</v>
      </c>
      <c r="W220" s="24">
        <f t="shared" ref="W220:AA220" si="914">IF($L220&lt;=W$8,1,0)</f>
        <v>1</v>
      </c>
      <c r="X220" s="24">
        <f>ROUND(INDEX($C$2:$C$5,MATCH($E220,$B$2:$B$5,0))*$F220/SUMIFS($F:$F,$E:$E,$E220,$B:$B,$B220,W:W,1)*IF(B220=$B$10,0.9,1),0)</f>
        <v>750</v>
      </c>
      <c r="Y220" s="24">
        <f t="shared" si="914"/>
        <v>1</v>
      </c>
      <c r="Z220" s="24">
        <f>ROUND(INDEX($C$2:$C$5,MATCH($E220,$B$2:$B$5,0))*$G220/SUMIFS($G:$G,$E:$E,$E220,$B:$B,$B220,Y:Y,1)*IF(B220=$B$10,0.9,1),0)</f>
        <v>750</v>
      </c>
      <c r="AA220" s="24">
        <f t="shared" si="914"/>
        <v>1</v>
      </c>
      <c r="AB220" s="24">
        <f>ROUND(INDEX($C$2:$C$5,MATCH($E220,$B$2:$B$5,0))*$H220/SUMIFS($H:$H,$E:$E,$E220,$B:$B,$B220,AA:AA,1)*IF(B220=$B$10,0.9,1),0)</f>
        <v>750</v>
      </c>
      <c r="AC220" s="24">
        <f t="shared" ref="AC220:AG220" si="915">IF($L220&lt;=AC$8,1,0)</f>
        <v>1</v>
      </c>
      <c r="AD220" s="24">
        <f>ROUND(INDEX($C$2:$C$5,MATCH($E220,$B$2:$B$5,0))*$F220/SUMIFS($F:$F,$E:$E,$E220,$B:$B,$B220,AC:AC,1)*IF(B220=$B$10,0.9,1),0)</f>
        <v>750</v>
      </c>
      <c r="AE220" s="24">
        <f t="shared" si="915"/>
        <v>1</v>
      </c>
      <c r="AF220" s="24">
        <f>ROUND(INDEX($C$2:$C$5,MATCH($E220,$B$2:$B$5,0))*$G220/SUMIFS($G:$G,$E:$E,$E220,$B:$B,$B220,AE:AE,1)*IF(B220=$B$10,0.9,1),0)</f>
        <v>750</v>
      </c>
      <c r="AG220" s="24">
        <f t="shared" si="915"/>
        <v>1</v>
      </c>
      <c r="AH220" s="24">
        <f>ROUND(INDEX($C$2:$C$5,MATCH($E220,$B$2:$B$5,0))*$H220/SUMIFS($H:$H,$E:$E,$E220,$B:$B,$B220,AG:AG,1)*IF(B220=$B$10,0.9,1),0)</f>
        <v>750</v>
      </c>
      <c r="AI220" s="24">
        <f t="shared" ref="AI220:AM220" si="916">IF($L220&lt;=AI$8,1,0)</f>
        <v>1</v>
      </c>
      <c r="AJ220" s="24">
        <f>ROUND(INDEX($C$2:$C$5,MATCH($E220,$B$2:$B$5,0))*$F220/SUMIFS($F:$F,$E:$E,$E220,$B:$B,$B220,AI:AI,1)*IF(B220=$B$10,0.9,1),0)</f>
        <v>750</v>
      </c>
      <c r="AK220" s="24">
        <f t="shared" si="916"/>
        <v>1</v>
      </c>
      <c r="AL220" s="24">
        <f>ROUND(INDEX($C$2:$C$5,MATCH($E220,$B$2:$B$5,0))*$G220/SUMIFS($G:$G,$E:$E,$E220,$B:$B,$B220,AK:AK,1)*IF(B220=$B$10,0.9,1),0)</f>
        <v>750</v>
      </c>
      <c r="AM220" s="24">
        <f t="shared" si="916"/>
        <v>1</v>
      </c>
      <c r="AN220" s="24">
        <f>ROUND(INDEX($C$2:$C$5,MATCH($E220,$B$2:$B$5,0))*$H220/SUMIFS($H:$H,$E:$E,$E220,$B:$B,$B220,AM:AM,1)*IF(B220=$B$10,0.9,1),0)</f>
        <v>750</v>
      </c>
      <c r="AX220" s="4" t="str">
        <f t="shared" si="830"/>
        <v>1,750</v>
      </c>
      <c r="AY220" s="4" t="str">
        <f t="shared" si="831"/>
        <v>1,900</v>
      </c>
      <c r="AZ220" s="4" t="str">
        <f t="shared" si="832"/>
        <v>1,900</v>
      </c>
      <c r="BA220" s="4" t="str">
        <f t="shared" si="833"/>
        <v>1,900</v>
      </c>
      <c r="BB220" s="4" t="str">
        <f t="shared" si="834"/>
        <v>1,750</v>
      </c>
      <c r="BC220" s="4" t="str">
        <f t="shared" si="835"/>
        <v>1,750</v>
      </c>
      <c r="BD220" s="4" t="str">
        <f t="shared" si="836"/>
        <v>1,750</v>
      </c>
      <c r="BE220" s="4" t="str">
        <f t="shared" si="837"/>
        <v>1,750</v>
      </c>
      <c r="BF220" s="4" t="str">
        <f t="shared" si="838"/>
        <v>1,750</v>
      </c>
      <c r="BG220" s="4" t="str">
        <f t="shared" si="839"/>
        <v>1,750</v>
      </c>
      <c r="BH220" s="4" t="str">
        <f t="shared" si="840"/>
        <v>1,750</v>
      </c>
      <c r="BI220" s="4" t="str">
        <f t="shared" si="841"/>
        <v>1,750</v>
      </c>
      <c r="BJ220" s="4" t="str">
        <f t="shared" si="842"/>
        <v>1,750</v>
      </c>
    </row>
    <row r="221" customHeight="1" spans="1:62">
      <c r="A221" s="62">
        <v>1321</v>
      </c>
      <c r="B221" s="63" t="s">
        <v>104</v>
      </c>
      <c r="C221" s="64"/>
      <c r="D221" s="46" t="s">
        <v>366</v>
      </c>
      <c r="E221" s="65">
        <v>3</v>
      </c>
      <c r="F221" s="35">
        <v>1</v>
      </c>
      <c r="G221" s="35">
        <f t="shared" si="843"/>
        <v>1</v>
      </c>
      <c r="H221" s="35">
        <v>1</v>
      </c>
      <c r="I221" s="35">
        <v>1</v>
      </c>
      <c r="J221" s="35">
        <v>1</v>
      </c>
      <c r="K221" s="35">
        <v>1</v>
      </c>
      <c r="L221" s="35">
        <v>1</v>
      </c>
      <c r="M221" s="35" t="s">
        <v>136</v>
      </c>
      <c r="N221">
        <f t="shared" si="844"/>
        <v>1500</v>
      </c>
      <c r="O221" s="35">
        <v>1</v>
      </c>
      <c r="P221" s="24">
        <f>ROUND(INDEX($C$2:$C$5,MATCH($E221,$B$2:$B$5,0))*$F221/SUMIFS($F:$F,$E:$E,$E221,$B:$B,$B221,O:O,1)*IF(B221=$B$10,0.9,1),0)</f>
        <v>250</v>
      </c>
      <c r="Q221" s="24">
        <f t="shared" ref="Q221:U221" si="917">IF($L221&lt;=Q$8,1,0)</f>
        <v>1</v>
      </c>
      <c r="R221" s="24">
        <f>ROUND(INDEX($C$2:$C$5,MATCH($E221,$B$2:$B$5,0))*$I221/SUMIFS($I:$I,$E:$E,$E221,$B:$B,$B221,Q:Q,1)*IF(B221=$B$10,0.9,1),0)</f>
        <v>300</v>
      </c>
      <c r="S221" s="24">
        <f t="shared" si="917"/>
        <v>1</v>
      </c>
      <c r="T221" s="24">
        <f>ROUND(INDEX($C$2:$C$5,MATCH($E221,$B$2:$B$5,0))*$J221/SUMIFS($J:$J,$E:$E,$E221,$B:$B,$B221,S:S,1)*IF(B221=$B$10,0.9,1),0)</f>
        <v>300</v>
      </c>
      <c r="U221" s="24">
        <f t="shared" si="917"/>
        <v>1</v>
      </c>
      <c r="V221" s="24">
        <f>ROUND(INDEX($C$2:$C$5,MATCH($E221,$B$2:$B$5,0))*$K221/SUMIFS($K:$K,$E:$E,$E221,$B:$B,$B221,U:U,1)*IF(B221=$B$10,0.9,1),0)</f>
        <v>300</v>
      </c>
      <c r="W221" s="24">
        <f t="shared" ref="W221:AA221" si="918">IF($L221&lt;=W$8,1,0)</f>
        <v>1</v>
      </c>
      <c r="X221" s="24">
        <f>ROUND(INDEX($C$2:$C$5,MATCH($E221,$B$2:$B$5,0))*$F221/SUMIFS($F:$F,$E:$E,$E221,$B:$B,$B221,W:W,1)*IF(B221=$B$10,0.9,1),0)</f>
        <v>250</v>
      </c>
      <c r="Y221" s="24">
        <f t="shared" si="918"/>
        <v>1</v>
      </c>
      <c r="Z221" s="24">
        <f>ROUND(INDEX($C$2:$C$5,MATCH($E221,$B$2:$B$5,0))*$G221/SUMIFS($G:$G,$E:$E,$E221,$B:$B,$B221,Y:Y,1)*IF(B221=$B$10,0.9,1),0)</f>
        <v>250</v>
      </c>
      <c r="AA221" s="24">
        <f t="shared" si="918"/>
        <v>1</v>
      </c>
      <c r="AB221" s="24">
        <f>ROUND(INDEX($C$2:$C$5,MATCH($E221,$B$2:$B$5,0))*$H221/SUMIFS($H:$H,$E:$E,$E221,$B:$B,$B221,AA:AA,1)*IF(B221=$B$10,0.9,1),0)</f>
        <v>250</v>
      </c>
      <c r="AC221" s="24">
        <f t="shared" ref="AC221:AG221" si="919">IF($L221&lt;=AC$8,1,0)</f>
        <v>1</v>
      </c>
      <c r="AD221" s="24">
        <f>ROUND(INDEX($C$2:$C$5,MATCH($E221,$B$2:$B$5,0))*$F221/SUMIFS($F:$F,$E:$E,$E221,$B:$B,$B221,AC:AC,1)*IF(B221=$B$10,0.9,1),0)</f>
        <v>250</v>
      </c>
      <c r="AE221" s="24">
        <f t="shared" si="919"/>
        <v>1</v>
      </c>
      <c r="AF221" s="24">
        <f>ROUND(INDEX($C$2:$C$5,MATCH($E221,$B$2:$B$5,0))*$G221/SUMIFS($G:$G,$E:$E,$E221,$B:$B,$B221,AE:AE,1)*IF(B221=$B$10,0.9,1),0)</f>
        <v>250</v>
      </c>
      <c r="AG221" s="24">
        <f t="shared" si="919"/>
        <v>1</v>
      </c>
      <c r="AH221" s="24">
        <f>ROUND(INDEX($C$2:$C$5,MATCH($E221,$B$2:$B$5,0))*$H221/SUMIFS($H:$H,$E:$E,$E221,$B:$B,$B221,AG:AG,1)*IF(B221=$B$10,0.9,1),0)</f>
        <v>250</v>
      </c>
      <c r="AI221" s="24">
        <f t="shared" ref="AI221:AM221" si="920">IF($L221&lt;=AI$8,1,0)</f>
        <v>1</v>
      </c>
      <c r="AJ221" s="24">
        <f>ROUND(INDEX($C$2:$C$5,MATCH($E221,$B$2:$B$5,0))*$F221/SUMIFS($F:$F,$E:$E,$E221,$B:$B,$B221,AI:AI,1)*IF(B221=$B$10,0.9,1),0)</f>
        <v>250</v>
      </c>
      <c r="AK221" s="24">
        <f t="shared" si="920"/>
        <v>1</v>
      </c>
      <c r="AL221" s="24">
        <f>ROUND(INDEX($C$2:$C$5,MATCH($E221,$B$2:$B$5,0))*$G221/SUMIFS($G:$G,$E:$E,$E221,$B:$B,$B221,AK:AK,1)*IF(B221=$B$10,0.9,1),0)</f>
        <v>250</v>
      </c>
      <c r="AM221" s="24">
        <f t="shared" si="920"/>
        <v>1</v>
      </c>
      <c r="AN221" s="24">
        <f>ROUND(INDEX($C$2:$C$5,MATCH($E221,$B$2:$B$5,0))*$H221/SUMIFS($H:$H,$E:$E,$E221,$B:$B,$B221,AM:AM,1)*IF(B221=$B$10,0.9,1),0)</f>
        <v>250</v>
      </c>
      <c r="AX221" s="4" t="str">
        <f t="shared" si="830"/>
        <v>1,250</v>
      </c>
      <c r="AY221" s="4" t="str">
        <f t="shared" si="831"/>
        <v>1,300</v>
      </c>
      <c r="AZ221" s="4" t="str">
        <f t="shared" si="832"/>
        <v>1,300</v>
      </c>
      <c r="BA221" s="4" t="str">
        <f t="shared" si="833"/>
        <v>1,300</v>
      </c>
      <c r="BB221" s="4" t="str">
        <f t="shared" si="834"/>
        <v>1,250</v>
      </c>
      <c r="BC221" s="4" t="str">
        <f t="shared" si="835"/>
        <v>1,250</v>
      </c>
      <c r="BD221" s="4" t="str">
        <f t="shared" si="836"/>
        <v>1,250</v>
      </c>
      <c r="BE221" s="4" t="str">
        <f t="shared" si="837"/>
        <v>1,250</v>
      </c>
      <c r="BF221" s="4" t="str">
        <f t="shared" si="838"/>
        <v>1,250</v>
      </c>
      <c r="BG221" s="4" t="str">
        <f t="shared" si="839"/>
        <v>1,250</v>
      </c>
      <c r="BH221" s="4" t="str">
        <f t="shared" si="840"/>
        <v>1,250</v>
      </c>
      <c r="BI221" s="4" t="str">
        <f t="shared" si="841"/>
        <v>1,250</v>
      </c>
      <c r="BJ221" s="4" t="str">
        <f t="shared" si="842"/>
        <v>1,250</v>
      </c>
    </row>
    <row r="222" customHeight="1" spans="1:62">
      <c r="A222" s="62">
        <v>1322</v>
      </c>
      <c r="B222" s="63" t="s">
        <v>104</v>
      </c>
      <c r="C222" s="64"/>
      <c r="D222" s="46" t="s">
        <v>367</v>
      </c>
      <c r="E222" s="65">
        <v>3</v>
      </c>
      <c r="F222" s="35">
        <v>1</v>
      </c>
      <c r="G222" s="35">
        <f t="shared" si="843"/>
        <v>1</v>
      </c>
      <c r="H222" s="35">
        <v>1</v>
      </c>
      <c r="I222" s="35">
        <v>1</v>
      </c>
      <c r="J222" s="35">
        <v>1</v>
      </c>
      <c r="K222" s="35">
        <v>1</v>
      </c>
      <c r="L222" s="35">
        <v>1</v>
      </c>
      <c r="M222" s="35"/>
      <c r="N222">
        <f t="shared" si="844"/>
        <v>1500</v>
      </c>
      <c r="O222" s="35">
        <v>1</v>
      </c>
      <c r="P222" s="24">
        <f>ROUND(INDEX($C$2:$C$5,MATCH($E222,$B$2:$B$5,0))*$F222/SUMIFS($F:$F,$E:$E,$E222,$B:$B,$B222,O:O,1)*IF(B222=$B$10,0.9,1),0)</f>
        <v>250</v>
      </c>
      <c r="Q222" s="24">
        <f t="shared" ref="Q222:U222" si="921">IF($L222&lt;=Q$8,1,0)</f>
        <v>1</v>
      </c>
      <c r="R222" s="24">
        <f>ROUND(INDEX($C$2:$C$5,MATCH($E222,$B$2:$B$5,0))*$I222/SUMIFS($I:$I,$E:$E,$E222,$B:$B,$B222,Q:Q,1)*IF(B222=$B$10,0.9,1),0)</f>
        <v>300</v>
      </c>
      <c r="S222" s="24">
        <f t="shared" si="921"/>
        <v>1</v>
      </c>
      <c r="T222" s="24">
        <f>ROUND(INDEX($C$2:$C$5,MATCH($E222,$B$2:$B$5,0))*$J222/SUMIFS($J:$J,$E:$E,$E222,$B:$B,$B222,S:S,1)*IF(B222=$B$10,0.9,1),0)</f>
        <v>300</v>
      </c>
      <c r="U222" s="24">
        <f t="shared" si="921"/>
        <v>1</v>
      </c>
      <c r="V222" s="24">
        <f>ROUND(INDEX($C$2:$C$5,MATCH($E222,$B$2:$B$5,0))*$K222/SUMIFS($K:$K,$E:$E,$E222,$B:$B,$B222,U:U,1)*IF(B222=$B$10,0.9,1),0)</f>
        <v>300</v>
      </c>
      <c r="W222" s="24">
        <f t="shared" ref="W222:AA222" si="922">IF($L222&lt;=W$8,1,0)</f>
        <v>1</v>
      </c>
      <c r="X222" s="24">
        <f>ROUND(INDEX($C$2:$C$5,MATCH($E222,$B$2:$B$5,0))*$F222/SUMIFS($F:$F,$E:$E,$E222,$B:$B,$B222,W:W,1)*IF(B222=$B$10,0.9,1),0)</f>
        <v>250</v>
      </c>
      <c r="Y222" s="24">
        <f t="shared" si="922"/>
        <v>1</v>
      </c>
      <c r="Z222" s="24">
        <f>ROUND(INDEX($C$2:$C$5,MATCH($E222,$B$2:$B$5,0))*$G222/SUMIFS($G:$G,$E:$E,$E222,$B:$B,$B222,Y:Y,1)*IF(B222=$B$10,0.9,1),0)</f>
        <v>250</v>
      </c>
      <c r="AA222" s="24">
        <f t="shared" si="922"/>
        <v>1</v>
      </c>
      <c r="AB222" s="24">
        <f>ROUND(INDEX($C$2:$C$5,MATCH($E222,$B$2:$B$5,0))*$H222/SUMIFS($H:$H,$E:$E,$E222,$B:$B,$B222,AA:AA,1)*IF(B222=$B$10,0.9,1),0)</f>
        <v>250</v>
      </c>
      <c r="AC222" s="24">
        <f t="shared" ref="AC222:AG222" si="923">IF($L222&lt;=AC$8,1,0)</f>
        <v>1</v>
      </c>
      <c r="AD222" s="24">
        <f>ROUND(INDEX($C$2:$C$5,MATCH($E222,$B$2:$B$5,0))*$F222/SUMIFS($F:$F,$E:$E,$E222,$B:$B,$B222,AC:AC,1)*IF(B222=$B$10,0.9,1),0)</f>
        <v>250</v>
      </c>
      <c r="AE222" s="24">
        <f t="shared" si="923"/>
        <v>1</v>
      </c>
      <c r="AF222" s="24">
        <f>ROUND(INDEX($C$2:$C$5,MATCH($E222,$B$2:$B$5,0))*$G222/SUMIFS($G:$G,$E:$E,$E222,$B:$B,$B222,AE:AE,1)*IF(B222=$B$10,0.9,1),0)</f>
        <v>250</v>
      </c>
      <c r="AG222" s="24">
        <f t="shared" si="923"/>
        <v>1</v>
      </c>
      <c r="AH222" s="24">
        <f>ROUND(INDEX($C$2:$C$5,MATCH($E222,$B$2:$B$5,0))*$H222/SUMIFS($H:$H,$E:$E,$E222,$B:$B,$B222,AG:AG,1)*IF(B222=$B$10,0.9,1),0)</f>
        <v>250</v>
      </c>
      <c r="AI222" s="24">
        <f t="shared" ref="AI222:AM222" si="924">IF($L222&lt;=AI$8,1,0)</f>
        <v>1</v>
      </c>
      <c r="AJ222" s="24">
        <f>ROUND(INDEX($C$2:$C$5,MATCH($E222,$B$2:$B$5,0))*$F222/SUMIFS($F:$F,$E:$E,$E222,$B:$B,$B222,AI:AI,1)*IF(B222=$B$10,0.9,1),0)</f>
        <v>250</v>
      </c>
      <c r="AK222" s="24">
        <f t="shared" si="924"/>
        <v>1</v>
      </c>
      <c r="AL222" s="24">
        <f>ROUND(INDEX($C$2:$C$5,MATCH($E222,$B$2:$B$5,0))*$G222/SUMIFS($G:$G,$E:$E,$E222,$B:$B,$B222,AK:AK,1)*IF(B222=$B$10,0.9,1),0)</f>
        <v>250</v>
      </c>
      <c r="AM222" s="24">
        <f t="shared" si="924"/>
        <v>1</v>
      </c>
      <c r="AN222" s="24">
        <f>ROUND(INDEX($C$2:$C$5,MATCH($E222,$B$2:$B$5,0))*$H222/SUMIFS($H:$H,$E:$E,$E222,$B:$B,$B222,AM:AM,1)*IF(B222=$B$10,0.9,1),0)</f>
        <v>250</v>
      </c>
      <c r="AX222" s="4" t="str">
        <f t="shared" si="830"/>
        <v>1,250</v>
      </c>
      <c r="AY222" s="4" t="str">
        <f t="shared" si="831"/>
        <v>1,300</v>
      </c>
      <c r="AZ222" s="4" t="str">
        <f t="shared" si="832"/>
        <v>1,300</v>
      </c>
      <c r="BA222" s="4" t="str">
        <f t="shared" si="833"/>
        <v>1,300</v>
      </c>
      <c r="BB222" s="4" t="str">
        <f t="shared" si="834"/>
        <v>1,250</v>
      </c>
      <c r="BC222" s="4" t="str">
        <f t="shared" si="835"/>
        <v>1,250</v>
      </c>
      <c r="BD222" s="4" t="str">
        <f t="shared" si="836"/>
        <v>1,250</v>
      </c>
      <c r="BE222" s="4" t="str">
        <f t="shared" si="837"/>
        <v>1,250</v>
      </c>
      <c r="BF222" s="4" t="str">
        <f t="shared" si="838"/>
        <v>1,250</v>
      </c>
      <c r="BG222" s="4" t="str">
        <f t="shared" si="839"/>
        <v>1,250</v>
      </c>
      <c r="BH222" s="4" t="str">
        <f t="shared" si="840"/>
        <v>1,250</v>
      </c>
      <c r="BI222" s="4" t="str">
        <f t="shared" si="841"/>
        <v>1,250</v>
      </c>
      <c r="BJ222" s="4" t="str">
        <f t="shared" si="842"/>
        <v>1,250</v>
      </c>
    </row>
    <row r="223" customHeight="1" spans="1:62">
      <c r="A223" s="62">
        <v>1323</v>
      </c>
      <c r="B223" s="63" t="s">
        <v>104</v>
      </c>
      <c r="C223" s="64"/>
      <c r="D223" s="46" t="s">
        <v>368</v>
      </c>
      <c r="E223" s="65">
        <v>3</v>
      </c>
      <c r="F223" s="35">
        <v>1</v>
      </c>
      <c r="G223" s="35">
        <f t="shared" si="843"/>
        <v>1</v>
      </c>
      <c r="H223" s="35">
        <v>1</v>
      </c>
      <c r="I223" s="35">
        <v>1</v>
      </c>
      <c r="J223" s="35">
        <v>1</v>
      </c>
      <c r="K223" s="35">
        <v>1</v>
      </c>
      <c r="L223" s="35">
        <v>1</v>
      </c>
      <c r="M223" s="35"/>
      <c r="N223">
        <f t="shared" si="844"/>
        <v>1500</v>
      </c>
      <c r="O223" s="35">
        <v>1</v>
      </c>
      <c r="P223" s="24">
        <f>ROUND(INDEX($C$2:$C$5,MATCH($E223,$B$2:$B$5,0))*$F223/SUMIFS($F:$F,$E:$E,$E223,$B:$B,$B223,O:O,1)*IF(B223=$B$10,0.9,1),0)</f>
        <v>250</v>
      </c>
      <c r="Q223" s="24">
        <f t="shared" ref="Q223:U223" si="925">IF($L223&lt;=Q$8,1,0)</f>
        <v>1</v>
      </c>
      <c r="R223" s="24">
        <f>ROUND(INDEX($C$2:$C$5,MATCH($E223,$B$2:$B$5,0))*$I223/SUMIFS($I:$I,$E:$E,$E223,$B:$B,$B223,Q:Q,1)*IF(B223=$B$10,0.9,1),0)</f>
        <v>300</v>
      </c>
      <c r="S223" s="24">
        <f t="shared" si="925"/>
        <v>1</v>
      </c>
      <c r="T223" s="24">
        <f>ROUND(INDEX($C$2:$C$5,MATCH($E223,$B$2:$B$5,0))*$J223/SUMIFS($J:$J,$E:$E,$E223,$B:$B,$B223,S:S,1)*IF(B223=$B$10,0.9,1),0)</f>
        <v>300</v>
      </c>
      <c r="U223" s="24">
        <f t="shared" si="925"/>
        <v>1</v>
      </c>
      <c r="V223" s="24">
        <f>ROUND(INDEX($C$2:$C$5,MATCH($E223,$B$2:$B$5,0))*$K223/SUMIFS($K:$K,$E:$E,$E223,$B:$B,$B223,U:U,1)*IF(B223=$B$10,0.9,1),0)</f>
        <v>300</v>
      </c>
      <c r="W223" s="24">
        <f t="shared" ref="W223:AA223" si="926">IF($L223&lt;=W$8,1,0)</f>
        <v>1</v>
      </c>
      <c r="X223" s="24">
        <f>ROUND(INDEX($C$2:$C$5,MATCH($E223,$B$2:$B$5,0))*$F223/SUMIFS($F:$F,$E:$E,$E223,$B:$B,$B223,W:W,1)*IF(B223=$B$10,0.9,1),0)</f>
        <v>250</v>
      </c>
      <c r="Y223" s="24">
        <f t="shared" si="926"/>
        <v>1</v>
      </c>
      <c r="Z223" s="24">
        <f>ROUND(INDEX($C$2:$C$5,MATCH($E223,$B$2:$B$5,0))*$G223/SUMIFS($G:$G,$E:$E,$E223,$B:$B,$B223,Y:Y,1)*IF(B223=$B$10,0.9,1),0)</f>
        <v>250</v>
      </c>
      <c r="AA223" s="24">
        <f t="shared" si="926"/>
        <v>1</v>
      </c>
      <c r="AB223" s="24">
        <f>ROUND(INDEX($C$2:$C$5,MATCH($E223,$B$2:$B$5,0))*$H223/SUMIFS($H:$H,$E:$E,$E223,$B:$B,$B223,AA:AA,1)*IF(B223=$B$10,0.9,1),0)</f>
        <v>250</v>
      </c>
      <c r="AC223" s="24">
        <f t="shared" ref="AC223:AG223" si="927">IF($L223&lt;=AC$8,1,0)</f>
        <v>1</v>
      </c>
      <c r="AD223" s="24">
        <f>ROUND(INDEX($C$2:$C$5,MATCH($E223,$B$2:$B$5,0))*$F223/SUMIFS($F:$F,$E:$E,$E223,$B:$B,$B223,AC:AC,1)*IF(B223=$B$10,0.9,1),0)</f>
        <v>250</v>
      </c>
      <c r="AE223" s="24">
        <f t="shared" si="927"/>
        <v>1</v>
      </c>
      <c r="AF223" s="24">
        <f>ROUND(INDEX($C$2:$C$5,MATCH($E223,$B$2:$B$5,0))*$G223/SUMIFS($G:$G,$E:$E,$E223,$B:$B,$B223,AE:AE,1)*IF(B223=$B$10,0.9,1),0)</f>
        <v>250</v>
      </c>
      <c r="AG223" s="24">
        <f t="shared" si="927"/>
        <v>1</v>
      </c>
      <c r="AH223" s="24">
        <f>ROUND(INDEX($C$2:$C$5,MATCH($E223,$B$2:$B$5,0))*$H223/SUMIFS($H:$H,$E:$E,$E223,$B:$B,$B223,AG:AG,1)*IF(B223=$B$10,0.9,1),0)</f>
        <v>250</v>
      </c>
      <c r="AI223" s="24">
        <f t="shared" ref="AI223:AM223" si="928">IF($L223&lt;=AI$8,1,0)</f>
        <v>1</v>
      </c>
      <c r="AJ223" s="24">
        <f>ROUND(INDEX($C$2:$C$5,MATCH($E223,$B$2:$B$5,0))*$F223/SUMIFS($F:$F,$E:$E,$E223,$B:$B,$B223,AI:AI,1)*IF(B223=$B$10,0.9,1),0)</f>
        <v>250</v>
      </c>
      <c r="AK223" s="24">
        <f t="shared" si="928"/>
        <v>1</v>
      </c>
      <c r="AL223" s="24">
        <f>ROUND(INDEX($C$2:$C$5,MATCH($E223,$B$2:$B$5,0))*$G223/SUMIFS($G:$G,$E:$E,$E223,$B:$B,$B223,AK:AK,1)*IF(B223=$B$10,0.9,1),0)</f>
        <v>250</v>
      </c>
      <c r="AM223" s="24">
        <f t="shared" si="928"/>
        <v>1</v>
      </c>
      <c r="AN223" s="24">
        <f>ROUND(INDEX($C$2:$C$5,MATCH($E223,$B$2:$B$5,0))*$H223/SUMIFS($H:$H,$E:$E,$E223,$B:$B,$B223,AM:AM,1)*IF(B223=$B$10,0.9,1),0)</f>
        <v>250</v>
      </c>
      <c r="AX223" s="4" t="str">
        <f t="shared" si="830"/>
        <v>1,250</v>
      </c>
      <c r="AY223" s="4" t="str">
        <f t="shared" si="831"/>
        <v>1,300</v>
      </c>
      <c r="AZ223" s="4" t="str">
        <f t="shared" si="832"/>
        <v>1,300</v>
      </c>
      <c r="BA223" s="4" t="str">
        <f t="shared" si="833"/>
        <v>1,300</v>
      </c>
      <c r="BB223" s="4" t="str">
        <f t="shared" si="834"/>
        <v>1,250</v>
      </c>
      <c r="BC223" s="4" t="str">
        <f t="shared" si="835"/>
        <v>1,250</v>
      </c>
      <c r="BD223" s="4" t="str">
        <f t="shared" si="836"/>
        <v>1,250</v>
      </c>
      <c r="BE223" s="4" t="str">
        <f t="shared" si="837"/>
        <v>1,250</v>
      </c>
      <c r="BF223" s="4" t="str">
        <f t="shared" si="838"/>
        <v>1,250</v>
      </c>
      <c r="BG223" s="4" t="str">
        <f t="shared" si="839"/>
        <v>1,250</v>
      </c>
      <c r="BH223" s="4" t="str">
        <f t="shared" si="840"/>
        <v>1,250</v>
      </c>
      <c r="BI223" s="4" t="str">
        <f t="shared" si="841"/>
        <v>1,250</v>
      </c>
      <c r="BJ223" s="4" t="str">
        <f t="shared" si="842"/>
        <v>1,250</v>
      </c>
    </row>
    <row r="224" customHeight="1" spans="1:62">
      <c r="A224" s="62">
        <v>1324</v>
      </c>
      <c r="B224" s="63" t="s">
        <v>104</v>
      </c>
      <c r="C224" s="64"/>
      <c r="D224" s="46" t="s">
        <v>369</v>
      </c>
      <c r="E224" s="66">
        <v>3</v>
      </c>
      <c r="F224" s="35">
        <v>1</v>
      </c>
      <c r="G224" s="35">
        <f t="shared" si="843"/>
        <v>1</v>
      </c>
      <c r="H224" s="35">
        <v>1</v>
      </c>
      <c r="I224" s="35">
        <v>1</v>
      </c>
      <c r="J224" s="35">
        <v>1</v>
      </c>
      <c r="K224" s="35">
        <v>1</v>
      </c>
      <c r="L224" s="35">
        <v>1</v>
      </c>
      <c r="M224" s="35"/>
      <c r="N224">
        <f t="shared" si="844"/>
        <v>1500</v>
      </c>
      <c r="O224" s="35">
        <v>1</v>
      </c>
      <c r="P224" s="24">
        <f>ROUND(INDEX($C$2:$C$5,MATCH($E224,$B$2:$B$5,0))*$F224/SUMIFS($F:$F,$E:$E,$E224,$B:$B,$B224,O:O,1)*IF(B224=$B$10,0.9,1),0)</f>
        <v>250</v>
      </c>
      <c r="Q224" s="24">
        <f t="shared" ref="Q224:U224" si="929">IF($L224&lt;=Q$8,1,0)</f>
        <v>1</v>
      </c>
      <c r="R224" s="24">
        <f>ROUND(INDEX($C$2:$C$5,MATCH($E224,$B$2:$B$5,0))*$I224/SUMIFS($I:$I,$E:$E,$E224,$B:$B,$B224,Q:Q,1)*IF(B224=$B$10,0.9,1),0)</f>
        <v>300</v>
      </c>
      <c r="S224" s="24">
        <f t="shared" si="929"/>
        <v>1</v>
      </c>
      <c r="T224" s="24">
        <f>ROUND(INDEX($C$2:$C$5,MATCH($E224,$B$2:$B$5,0))*$J224/SUMIFS($J:$J,$E:$E,$E224,$B:$B,$B224,S:S,1)*IF(B224=$B$10,0.9,1),0)</f>
        <v>300</v>
      </c>
      <c r="U224" s="24">
        <f t="shared" si="929"/>
        <v>1</v>
      </c>
      <c r="V224" s="24">
        <f>ROUND(INDEX($C$2:$C$5,MATCH($E224,$B$2:$B$5,0))*$K224/SUMIFS($K:$K,$E:$E,$E224,$B:$B,$B224,U:U,1)*IF(B224=$B$10,0.9,1),0)</f>
        <v>300</v>
      </c>
      <c r="W224" s="24">
        <f t="shared" ref="W224:AA224" si="930">IF($L224&lt;=W$8,1,0)</f>
        <v>1</v>
      </c>
      <c r="X224" s="24">
        <f>ROUND(INDEX($C$2:$C$5,MATCH($E224,$B$2:$B$5,0))*$F224/SUMIFS($F:$F,$E:$E,$E224,$B:$B,$B224,W:W,1)*IF(B224=$B$10,0.9,1),0)</f>
        <v>250</v>
      </c>
      <c r="Y224" s="24">
        <f t="shared" si="930"/>
        <v>1</v>
      </c>
      <c r="Z224" s="24">
        <f>ROUND(INDEX($C$2:$C$5,MATCH($E224,$B$2:$B$5,0))*$G224/SUMIFS($G:$G,$E:$E,$E224,$B:$B,$B224,Y:Y,1)*IF(B224=$B$10,0.9,1),0)</f>
        <v>250</v>
      </c>
      <c r="AA224" s="24">
        <f t="shared" si="930"/>
        <v>1</v>
      </c>
      <c r="AB224" s="24">
        <f>ROUND(INDEX($C$2:$C$5,MATCH($E224,$B$2:$B$5,0))*$H224/SUMIFS($H:$H,$E:$E,$E224,$B:$B,$B224,AA:AA,1)*IF(B224=$B$10,0.9,1),0)</f>
        <v>250</v>
      </c>
      <c r="AC224" s="24">
        <f t="shared" ref="AC224:AG224" si="931">IF($L224&lt;=AC$8,1,0)</f>
        <v>1</v>
      </c>
      <c r="AD224" s="24">
        <f>ROUND(INDEX($C$2:$C$5,MATCH($E224,$B$2:$B$5,0))*$F224/SUMIFS($F:$F,$E:$E,$E224,$B:$B,$B224,AC:AC,1)*IF(B224=$B$10,0.9,1),0)</f>
        <v>250</v>
      </c>
      <c r="AE224" s="24">
        <f t="shared" si="931"/>
        <v>1</v>
      </c>
      <c r="AF224" s="24">
        <f>ROUND(INDEX($C$2:$C$5,MATCH($E224,$B$2:$B$5,0))*$G224/SUMIFS($G:$G,$E:$E,$E224,$B:$B,$B224,AE:AE,1)*IF(B224=$B$10,0.9,1),0)</f>
        <v>250</v>
      </c>
      <c r="AG224" s="24">
        <f t="shared" si="931"/>
        <v>1</v>
      </c>
      <c r="AH224" s="24">
        <f>ROUND(INDEX($C$2:$C$5,MATCH($E224,$B$2:$B$5,0))*$H224/SUMIFS($H:$H,$E:$E,$E224,$B:$B,$B224,AG:AG,1)*IF(B224=$B$10,0.9,1),0)</f>
        <v>250</v>
      </c>
      <c r="AI224" s="24">
        <f t="shared" ref="AI224:AM224" si="932">IF($L224&lt;=AI$8,1,0)</f>
        <v>1</v>
      </c>
      <c r="AJ224" s="24">
        <f>ROUND(INDEX($C$2:$C$5,MATCH($E224,$B$2:$B$5,0))*$F224/SUMIFS($F:$F,$E:$E,$E224,$B:$B,$B224,AI:AI,1)*IF(B224=$B$10,0.9,1),0)</f>
        <v>250</v>
      </c>
      <c r="AK224" s="24">
        <f t="shared" si="932"/>
        <v>1</v>
      </c>
      <c r="AL224" s="24">
        <f>ROUND(INDEX($C$2:$C$5,MATCH($E224,$B$2:$B$5,0))*$G224/SUMIFS($G:$G,$E:$E,$E224,$B:$B,$B224,AK:AK,1)*IF(B224=$B$10,0.9,1),0)</f>
        <v>250</v>
      </c>
      <c r="AM224" s="24">
        <f t="shared" si="932"/>
        <v>1</v>
      </c>
      <c r="AN224" s="24">
        <f>ROUND(INDEX($C$2:$C$5,MATCH($E224,$B$2:$B$5,0))*$H224/SUMIFS($H:$H,$E:$E,$E224,$B:$B,$B224,AM:AM,1)*IF(B224=$B$10,0.9,1),0)</f>
        <v>250</v>
      </c>
      <c r="AX224" s="4" t="str">
        <f t="shared" si="830"/>
        <v>1,250</v>
      </c>
      <c r="AY224" s="4" t="str">
        <f t="shared" si="831"/>
        <v>1,300</v>
      </c>
      <c r="AZ224" s="4" t="str">
        <f t="shared" si="832"/>
        <v>1,300</v>
      </c>
      <c r="BA224" s="4" t="str">
        <f t="shared" si="833"/>
        <v>1,300</v>
      </c>
      <c r="BB224" s="4" t="str">
        <f t="shared" si="834"/>
        <v>1,250</v>
      </c>
      <c r="BC224" s="4" t="str">
        <f t="shared" si="835"/>
        <v>1,250</v>
      </c>
      <c r="BD224" s="4" t="str">
        <f t="shared" si="836"/>
        <v>1,250</v>
      </c>
      <c r="BE224" s="4" t="str">
        <f t="shared" si="837"/>
        <v>1,250</v>
      </c>
      <c r="BF224" s="4" t="str">
        <f t="shared" si="838"/>
        <v>1,250</v>
      </c>
      <c r="BG224" s="4" t="str">
        <f t="shared" si="839"/>
        <v>1,250</v>
      </c>
      <c r="BH224" s="4" t="str">
        <f t="shared" si="840"/>
        <v>1,250</v>
      </c>
      <c r="BI224" s="4" t="str">
        <f t="shared" si="841"/>
        <v>1,250</v>
      </c>
      <c r="BJ224" s="4" t="str">
        <f t="shared" si="842"/>
        <v>1,250</v>
      </c>
    </row>
    <row r="225" customHeight="1" spans="1:62">
      <c r="A225" s="62">
        <v>1331</v>
      </c>
      <c r="B225" s="63" t="s">
        <v>104</v>
      </c>
      <c r="C225" s="64"/>
      <c r="D225" s="44" t="s">
        <v>95</v>
      </c>
      <c r="E225" s="66">
        <v>2</v>
      </c>
      <c r="F225" s="35">
        <v>1</v>
      </c>
      <c r="G225" s="35">
        <f t="shared" si="843"/>
        <v>1</v>
      </c>
      <c r="H225" s="35">
        <v>1</v>
      </c>
      <c r="I225" s="35">
        <v>1</v>
      </c>
      <c r="J225" s="35">
        <v>1</v>
      </c>
      <c r="K225" s="35">
        <v>1</v>
      </c>
      <c r="L225" s="35">
        <v>2</v>
      </c>
      <c r="M225" s="35"/>
      <c r="N225">
        <f t="shared" si="844"/>
        <v>4500</v>
      </c>
      <c r="O225" s="35">
        <v>1</v>
      </c>
      <c r="P225" s="24">
        <f>ROUND(INDEX($C$2:$C$5,MATCH($E225,$B$2:$B$5,0))*$F225/SUMIFS($F:$F,$E:$E,$E225,$B:$B,$B225,O:O,1)*IF(B225=$B$10,0.9,1),0)</f>
        <v>750</v>
      </c>
      <c r="Q225" s="24">
        <f t="shared" ref="Q225:U225" si="933">IF($L225&lt;=Q$8,1,0)</f>
        <v>0</v>
      </c>
      <c r="R225" s="24">
        <f>ROUND(INDEX($C$2:$C$5,MATCH($E225,$B$2:$B$5,0))*$I225/SUMIFS($I:$I,$E:$E,$E225,$B:$B,$B225,Q:Q,1)*IF(B225=$B$10,0.9,1),0)</f>
        <v>900</v>
      </c>
      <c r="S225" s="24">
        <f t="shared" si="933"/>
        <v>0</v>
      </c>
      <c r="T225" s="24">
        <f>ROUND(INDEX($C$2:$C$5,MATCH($E225,$B$2:$B$5,0))*$J225/SUMIFS($J:$J,$E:$E,$E225,$B:$B,$B225,S:S,1)*IF(B225=$B$10,0.9,1),0)</f>
        <v>900</v>
      </c>
      <c r="U225" s="24">
        <f t="shared" si="933"/>
        <v>0</v>
      </c>
      <c r="V225" s="24">
        <f>ROUND(INDEX($C$2:$C$5,MATCH($E225,$B$2:$B$5,0))*$K225/SUMIFS($K:$K,$E:$E,$E225,$B:$B,$B225,U:U,1)*IF(B225=$B$10,0.9,1),0)</f>
        <v>900</v>
      </c>
      <c r="W225" s="24">
        <f t="shared" ref="W225:AA225" si="934">IF($L225&lt;=W$8,1,0)</f>
        <v>1</v>
      </c>
      <c r="X225" s="24">
        <f>ROUND(INDEX($C$2:$C$5,MATCH($E225,$B$2:$B$5,0))*$F225/SUMIFS($F:$F,$E:$E,$E225,$B:$B,$B225,W:W,1)*IF(B225=$B$10,0.9,1),0)</f>
        <v>750</v>
      </c>
      <c r="Y225" s="24">
        <f t="shared" si="934"/>
        <v>1</v>
      </c>
      <c r="Z225" s="24">
        <f>ROUND(INDEX($C$2:$C$5,MATCH($E225,$B$2:$B$5,0))*$G225/SUMIFS($G:$G,$E:$E,$E225,$B:$B,$B225,Y:Y,1)*IF(B225=$B$10,0.9,1),0)</f>
        <v>750</v>
      </c>
      <c r="AA225" s="24">
        <f t="shared" si="934"/>
        <v>1</v>
      </c>
      <c r="AB225" s="24">
        <f>ROUND(INDEX($C$2:$C$5,MATCH($E225,$B$2:$B$5,0))*$H225/SUMIFS($H:$H,$E:$E,$E225,$B:$B,$B225,AA:AA,1)*IF(B225=$B$10,0.9,1),0)</f>
        <v>750</v>
      </c>
      <c r="AC225" s="24">
        <f t="shared" ref="AC225:AG225" si="935">IF($L225&lt;=AC$8,1,0)</f>
        <v>1</v>
      </c>
      <c r="AD225" s="24">
        <f>ROUND(INDEX($C$2:$C$5,MATCH($E225,$B$2:$B$5,0))*$F225/SUMIFS($F:$F,$E:$E,$E225,$B:$B,$B225,AC:AC,1)*IF(B225=$B$10,0.9,1),0)</f>
        <v>750</v>
      </c>
      <c r="AE225" s="24">
        <f t="shared" si="935"/>
        <v>1</v>
      </c>
      <c r="AF225" s="24">
        <f>ROUND(INDEX($C$2:$C$5,MATCH($E225,$B$2:$B$5,0))*$G225/SUMIFS($G:$G,$E:$E,$E225,$B:$B,$B225,AE:AE,1)*IF(B225=$B$10,0.9,1),0)</f>
        <v>750</v>
      </c>
      <c r="AG225" s="24">
        <f t="shared" si="935"/>
        <v>1</v>
      </c>
      <c r="AH225" s="24">
        <f>ROUND(INDEX($C$2:$C$5,MATCH($E225,$B$2:$B$5,0))*$H225/SUMIFS($H:$H,$E:$E,$E225,$B:$B,$B225,AG:AG,1)*IF(B225=$B$10,0.9,1),0)</f>
        <v>750</v>
      </c>
      <c r="AI225" s="24">
        <f t="shared" ref="AI225:AM225" si="936">IF($L225&lt;=AI$8,1,0)</f>
        <v>1</v>
      </c>
      <c r="AJ225" s="24">
        <f>ROUND(INDEX($C$2:$C$5,MATCH($E225,$B$2:$B$5,0))*$F225/SUMIFS($F:$F,$E:$E,$E225,$B:$B,$B225,AI:AI,1)*IF(B225=$B$10,0.9,1),0)</f>
        <v>750</v>
      </c>
      <c r="AK225" s="24">
        <f t="shared" si="936"/>
        <v>1</v>
      </c>
      <c r="AL225" s="24">
        <f>ROUND(INDEX($C$2:$C$5,MATCH($E225,$B$2:$B$5,0))*$G225/SUMIFS($G:$G,$E:$E,$E225,$B:$B,$B225,AK:AK,1)*IF(B225=$B$10,0.9,1),0)</f>
        <v>750</v>
      </c>
      <c r="AM225" s="24">
        <f t="shared" si="936"/>
        <v>1</v>
      </c>
      <c r="AN225" s="24">
        <f>ROUND(INDEX($C$2:$C$5,MATCH($E225,$B$2:$B$5,0))*$H225/SUMIFS($H:$H,$E:$E,$E225,$B:$B,$B225,AM:AM,1)*IF(B225=$B$10,0.9,1),0)</f>
        <v>750</v>
      </c>
      <c r="AX225" s="4" t="str">
        <f t="shared" si="830"/>
        <v>1,750</v>
      </c>
      <c r="AY225" s="4" t="str">
        <f t="shared" si="831"/>
        <v>0,900</v>
      </c>
      <c r="AZ225" s="4" t="str">
        <f t="shared" si="832"/>
        <v>0,900</v>
      </c>
      <c r="BA225" s="4" t="str">
        <f t="shared" si="833"/>
        <v>0,900</v>
      </c>
      <c r="BB225" s="4" t="str">
        <f t="shared" si="834"/>
        <v>1,750</v>
      </c>
      <c r="BC225" s="4" t="str">
        <f t="shared" si="835"/>
        <v>1,750</v>
      </c>
      <c r="BD225" s="4" t="str">
        <f t="shared" si="836"/>
        <v>1,750</v>
      </c>
      <c r="BE225" s="4" t="str">
        <f t="shared" si="837"/>
        <v>1,750</v>
      </c>
      <c r="BF225" s="4" t="str">
        <f t="shared" si="838"/>
        <v>1,750</v>
      </c>
      <c r="BG225" s="4" t="str">
        <f t="shared" si="839"/>
        <v>1,750</v>
      </c>
      <c r="BH225" s="4" t="str">
        <f t="shared" si="840"/>
        <v>1,750</v>
      </c>
      <c r="BI225" s="4" t="str">
        <f t="shared" si="841"/>
        <v>1,750</v>
      </c>
      <c r="BJ225" s="4" t="str">
        <f t="shared" si="842"/>
        <v>1,750</v>
      </c>
    </row>
    <row r="226" customHeight="1" spans="1:62">
      <c r="A226" s="62">
        <v>1332</v>
      </c>
      <c r="B226" s="63" t="s">
        <v>104</v>
      </c>
      <c r="C226" s="64" t="s">
        <v>218</v>
      </c>
      <c r="D226" s="44" t="s">
        <v>414</v>
      </c>
      <c r="E226" s="66">
        <v>2</v>
      </c>
      <c r="F226" s="35">
        <v>1</v>
      </c>
      <c r="G226" s="35">
        <f t="shared" si="843"/>
        <v>1</v>
      </c>
      <c r="H226" s="35">
        <v>1</v>
      </c>
      <c r="I226" s="35">
        <v>1</v>
      </c>
      <c r="J226" s="35">
        <v>1</v>
      </c>
      <c r="K226" s="35">
        <v>1</v>
      </c>
      <c r="L226" s="35">
        <v>1</v>
      </c>
      <c r="M226" s="35" t="s">
        <v>136</v>
      </c>
      <c r="N226">
        <f t="shared" si="844"/>
        <v>4500</v>
      </c>
      <c r="O226" s="35">
        <v>1</v>
      </c>
      <c r="P226" s="24">
        <f>ROUND(INDEX($C$2:$C$5,MATCH($E226,$B$2:$B$5,0))*$F226/SUMIFS($F:$F,$E:$E,$E226,$B:$B,$B226,O:O,1)*IF(B226=$B$10,0.9,1),0)</f>
        <v>750</v>
      </c>
      <c r="Q226" s="24">
        <f t="shared" ref="Q226:U226" si="937">IF($L226&lt;=Q$8,1,0)</f>
        <v>1</v>
      </c>
      <c r="R226" s="24">
        <f>ROUND(INDEX($C$2:$C$5,MATCH($E226,$B$2:$B$5,0))*$I226/SUMIFS($I:$I,$E:$E,$E226,$B:$B,$B226,Q:Q,1)*IF(B226=$B$10,0.9,1),0)</f>
        <v>900</v>
      </c>
      <c r="S226" s="24">
        <f t="shared" si="937"/>
        <v>1</v>
      </c>
      <c r="T226" s="24">
        <f>ROUND(INDEX($C$2:$C$5,MATCH($E226,$B$2:$B$5,0))*$J226/SUMIFS($J:$J,$E:$E,$E226,$B:$B,$B226,S:S,1)*IF(B226=$B$10,0.9,1),0)</f>
        <v>900</v>
      </c>
      <c r="U226" s="24">
        <f t="shared" si="937"/>
        <v>1</v>
      </c>
      <c r="V226" s="24">
        <f>ROUND(INDEX($C$2:$C$5,MATCH($E226,$B$2:$B$5,0))*$K226/SUMIFS($K:$K,$E:$E,$E226,$B:$B,$B226,U:U,1)*IF(B226=$B$10,0.9,1),0)</f>
        <v>900</v>
      </c>
      <c r="W226" s="24">
        <f t="shared" ref="W226:AA226" si="938">IF($L226&lt;=W$8,1,0)</f>
        <v>1</v>
      </c>
      <c r="X226" s="24">
        <f>ROUND(INDEX($C$2:$C$5,MATCH($E226,$B$2:$B$5,0))*$F226/SUMIFS($F:$F,$E:$E,$E226,$B:$B,$B226,W:W,1)*IF(B226=$B$10,0.9,1),0)</f>
        <v>750</v>
      </c>
      <c r="Y226" s="24">
        <f t="shared" si="938"/>
        <v>1</v>
      </c>
      <c r="Z226" s="24">
        <f>ROUND(INDEX($C$2:$C$5,MATCH($E226,$B$2:$B$5,0))*$G226/SUMIFS($G:$G,$E:$E,$E226,$B:$B,$B226,Y:Y,1)*IF(B226=$B$10,0.9,1),0)</f>
        <v>750</v>
      </c>
      <c r="AA226" s="24">
        <f t="shared" si="938"/>
        <v>1</v>
      </c>
      <c r="AB226" s="24">
        <f>ROUND(INDEX($C$2:$C$5,MATCH($E226,$B$2:$B$5,0))*$H226/SUMIFS($H:$H,$E:$E,$E226,$B:$B,$B226,AA:AA,1)*IF(B226=$B$10,0.9,1),0)</f>
        <v>750</v>
      </c>
      <c r="AC226" s="24">
        <f t="shared" ref="AC226:AG226" si="939">IF($L226&lt;=AC$8,1,0)</f>
        <v>1</v>
      </c>
      <c r="AD226" s="24">
        <f>ROUND(INDEX($C$2:$C$5,MATCH($E226,$B$2:$B$5,0))*$F226/SUMIFS($F:$F,$E:$E,$E226,$B:$B,$B226,AC:AC,1)*IF(B226=$B$10,0.9,1),0)</f>
        <v>750</v>
      </c>
      <c r="AE226" s="24">
        <f t="shared" si="939"/>
        <v>1</v>
      </c>
      <c r="AF226" s="24">
        <f>ROUND(INDEX($C$2:$C$5,MATCH($E226,$B$2:$B$5,0))*$G226/SUMIFS($G:$G,$E:$E,$E226,$B:$B,$B226,AE:AE,1)*IF(B226=$B$10,0.9,1),0)</f>
        <v>750</v>
      </c>
      <c r="AG226" s="24">
        <f t="shared" si="939"/>
        <v>1</v>
      </c>
      <c r="AH226" s="24">
        <f>ROUND(INDEX($C$2:$C$5,MATCH($E226,$B$2:$B$5,0))*$H226/SUMIFS($H:$H,$E:$E,$E226,$B:$B,$B226,AG:AG,1)*IF(B226=$B$10,0.9,1),0)</f>
        <v>750</v>
      </c>
      <c r="AI226" s="24">
        <f t="shared" ref="AI226:AM226" si="940">IF($L226&lt;=AI$8,1,0)</f>
        <v>1</v>
      </c>
      <c r="AJ226" s="24">
        <f>ROUND(INDEX($C$2:$C$5,MATCH($E226,$B$2:$B$5,0))*$F226/SUMIFS($F:$F,$E:$E,$E226,$B:$B,$B226,AI:AI,1)*IF(B226=$B$10,0.9,1),0)</f>
        <v>750</v>
      </c>
      <c r="AK226" s="24">
        <f t="shared" si="940"/>
        <v>1</v>
      </c>
      <c r="AL226" s="24">
        <f>ROUND(INDEX($C$2:$C$5,MATCH($E226,$B$2:$B$5,0))*$G226/SUMIFS($G:$G,$E:$E,$E226,$B:$B,$B226,AK:AK,1)*IF(B226=$B$10,0.9,1),0)</f>
        <v>750</v>
      </c>
      <c r="AM226" s="24">
        <f t="shared" si="940"/>
        <v>1</v>
      </c>
      <c r="AN226" s="24">
        <f>ROUND(INDEX($C$2:$C$5,MATCH($E226,$B$2:$B$5,0))*$H226/SUMIFS($H:$H,$E:$E,$E226,$B:$B,$B226,AM:AM,1)*IF(B226=$B$10,0.9,1),0)</f>
        <v>750</v>
      </c>
      <c r="AX226" s="4" t="str">
        <f t="shared" si="830"/>
        <v>1,750</v>
      </c>
      <c r="AY226" s="4" t="str">
        <f t="shared" si="831"/>
        <v>1,900</v>
      </c>
      <c r="AZ226" s="4" t="str">
        <f t="shared" si="832"/>
        <v>1,900</v>
      </c>
      <c r="BA226" s="4" t="str">
        <f t="shared" si="833"/>
        <v>1,900</v>
      </c>
      <c r="BB226" s="4" t="str">
        <f t="shared" si="834"/>
        <v>1,750</v>
      </c>
      <c r="BC226" s="4" t="str">
        <f t="shared" si="835"/>
        <v>1,750</v>
      </c>
      <c r="BD226" s="4" t="str">
        <f t="shared" si="836"/>
        <v>1,750</v>
      </c>
      <c r="BE226" s="4" t="str">
        <f t="shared" si="837"/>
        <v>1,750</v>
      </c>
      <c r="BF226" s="4" t="str">
        <f t="shared" si="838"/>
        <v>1,750</v>
      </c>
      <c r="BG226" s="4" t="str">
        <f t="shared" si="839"/>
        <v>1,750</v>
      </c>
      <c r="BH226" s="4" t="str">
        <f t="shared" si="840"/>
        <v>1,750</v>
      </c>
      <c r="BI226" s="4" t="str">
        <f t="shared" si="841"/>
        <v>1,750</v>
      </c>
      <c r="BJ226" s="4" t="str">
        <f t="shared" si="842"/>
        <v>1,750</v>
      </c>
    </row>
    <row r="227" customHeight="1" spans="1:62">
      <c r="A227" s="62">
        <v>1341</v>
      </c>
      <c r="B227" s="63" t="s">
        <v>104</v>
      </c>
      <c r="C227" s="64" t="s">
        <v>218</v>
      </c>
      <c r="D227" s="46" t="s">
        <v>415</v>
      </c>
      <c r="E227" s="66">
        <v>3</v>
      </c>
      <c r="F227" s="35">
        <v>1</v>
      </c>
      <c r="G227" s="35">
        <f t="shared" si="843"/>
        <v>1</v>
      </c>
      <c r="H227" s="35">
        <v>1</v>
      </c>
      <c r="I227" s="35">
        <v>1</v>
      </c>
      <c r="J227" s="35">
        <v>1</v>
      </c>
      <c r="K227" s="35">
        <v>1</v>
      </c>
      <c r="L227" s="35">
        <v>2</v>
      </c>
      <c r="M227" s="35" t="s">
        <v>136</v>
      </c>
      <c r="N227">
        <f t="shared" si="844"/>
        <v>1500</v>
      </c>
      <c r="O227" s="35">
        <v>1</v>
      </c>
      <c r="P227" s="24">
        <f>ROUND(INDEX($C$2:$C$5,MATCH($E227,$B$2:$B$5,0))*$F227/SUMIFS($F:$F,$E:$E,$E227,$B:$B,$B227,O:O,1)*IF(B227=$B$10,0.9,1),0)</f>
        <v>250</v>
      </c>
      <c r="Q227" s="24">
        <f t="shared" ref="Q227:U227" si="941">IF($L227&lt;=Q$8,1,0)</f>
        <v>0</v>
      </c>
      <c r="R227" s="24">
        <f>ROUND(INDEX($C$2:$C$5,MATCH($E227,$B$2:$B$5,0))*$I227/SUMIFS($I:$I,$E:$E,$E227,$B:$B,$B227,Q:Q,1)*IF(B227=$B$10,0.9,1),0)</f>
        <v>300</v>
      </c>
      <c r="S227" s="24">
        <f t="shared" si="941"/>
        <v>0</v>
      </c>
      <c r="T227" s="24">
        <f>ROUND(INDEX($C$2:$C$5,MATCH($E227,$B$2:$B$5,0))*$J227/SUMIFS($J:$J,$E:$E,$E227,$B:$B,$B227,S:S,1)*IF(B227=$B$10,0.9,1),0)</f>
        <v>300</v>
      </c>
      <c r="U227" s="24">
        <f t="shared" si="941"/>
        <v>0</v>
      </c>
      <c r="V227" s="24">
        <f>ROUND(INDEX($C$2:$C$5,MATCH($E227,$B$2:$B$5,0))*$K227/SUMIFS($K:$K,$E:$E,$E227,$B:$B,$B227,U:U,1)*IF(B227=$B$10,0.9,1),0)</f>
        <v>300</v>
      </c>
      <c r="W227" s="24">
        <f t="shared" ref="W227:AA227" si="942">IF($L227&lt;=W$8,1,0)</f>
        <v>1</v>
      </c>
      <c r="X227" s="24">
        <f>ROUND(INDEX($C$2:$C$5,MATCH($E227,$B$2:$B$5,0))*$F227/SUMIFS($F:$F,$E:$E,$E227,$B:$B,$B227,W:W,1)*IF(B227=$B$10,0.9,1),0)</f>
        <v>250</v>
      </c>
      <c r="Y227" s="24">
        <f t="shared" si="942"/>
        <v>1</v>
      </c>
      <c r="Z227" s="24">
        <f>ROUND(INDEX($C$2:$C$5,MATCH($E227,$B$2:$B$5,0))*$G227/SUMIFS($G:$G,$E:$E,$E227,$B:$B,$B227,Y:Y,1)*IF(B227=$B$10,0.9,1),0)</f>
        <v>250</v>
      </c>
      <c r="AA227" s="24">
        <f t="shared" si="942"/>
        <v>1</v>
      </c>
      <c r="AB227" s="24">
        <f>ROUND(INDEX($C$2:$C$5,MATCH($E227,$B$2:$B$5,0))*$H227/SUMIFS($H:$H,$E:$E,$E227,$B:$B,$B227,AA:AA,1)*IF(B227=$B$10,0.9,1),0)</f>
        <v>250</v>
      </c>
      <c r="AC227" s="24">
        <f t="shared" ref="AC227:AG227" si="943">IF($L227&lt;=AC$8,1,0)</f>
        <v>1</v>
      </c>
      <c r="AD227" s="24">
        <f>ROUND(INDEX($C$2:$C$5,MATCH($E227,$B$2:$B$5,0))*$F227/SUMIFS($F:$F,$E:$E,$E227,$B:$B,$B227,AC:AC,1)*IF(B227=$B$10,0.9,1),0)</f>
        <v>250</v>
      </c>
      <c r="AE227" s="24">
        <f t="shared" si="943"/>
        <v>1</v>
      </c>
      <c r="AF227" s="24">
        <f>ROUND(INDEX($C$2:$C$5,MATCH($E227,$B$2:$B$5,0))*$G227/SUMIFS($G:$G,$E:$E,$E227,$B:$B,$B227,AE:AE,1)*IF(B227=$B$10,0.9,1),0)</f>
        <v>250</v>
      </c>
      <c r="AG227" s="24">
        <f t="shared" si="943"/>
        <v>1</v>
      </c>
      <c r="AH227" s="24">
        <f>ROUND(INDEX($C$2:$C$5,MATCH($E227,$B$2:$B$5,0))*$H227/SUMIFS($H:$H,$E:$E,$E227,$B:$B,$B227,AG:AG,1)*IF(B227=$B$10,0.9,1),0)</f>
        <v>250</v>
      </c>
      <c r="AI227" s="24">
        <f t="shared" ref="AI227:AM227" si="944">IF($L227&lt;=AI$8,1,0)</f>
        <v>1</v>
      </c>
      <c r="AJ227" s="24">
        <f>ROUND(INDEX($C$2:$C$5,MATCH($E227,$B$2:$B$5,0))*$F227/SUMIFS($F:$F,$E:$E,$E227,$B:$B,$B227,AI:AI,1)*IF(B227=$B$10,0.9,1),0)</f>
        <v>250</v>
      </c>
      <c r="AK227" s="24">
        <f t="shared" si="944"/>
        <v>1</v>
      </c>
      <c r="AL227" s="24">
        <f>ROUND(INDEX($C$2:$C$5,MATCH($E227,$B$2:$B$5,0))*$G227/SUMIFS($G:$G,$E:$E,$E227,$B:$B,$B227,AK:AK,1)*IF(B227=$B$10,0.9,1),0)</f>
        <v>250</v>
      </c>
      <c r="AM227" s="24">
        <f t="shared" si="944"/>
        <v>1</v>
      </c>
      <c r="AN227" s="24">
        <f>ROUND(INDEX($C$2:$C$5,MATCH($E227,$B$2:$B$5,0))*$H227/SUMIFS($H:$H,$E:$E,$E227,$B:$B,$B227,AM:AM,1)*IF(B227=$B$10,0.9,1),0)</f>
        <v>250</v>
      </c>
      <c r="AX227" s="4" t="str">
        <f t="shared" si="830"/>
        <v>1,250</v>
      </c>
      <c r="AY227" s="4" t="str">
        <f t="shared" si="831"/>
        <v>0,300</v>
      </c>
      <c r="AZ227" s="4" t="str">
        <f t="shared" si="832"/>
        <v>0,300</v>
      </c>
      <c r="BA227" s="4" t="str">
        <f t="shared" si="833"/>
        <v>0,300</v>
      </c>
      <c r="BB227" s="4" t="str">
        <f t="shared" si="834"/>
        <v>1,250</v>
      </c>
      <c r="BC227" s="4" t="str">
        <f t="shared" si="835"/>
        <v>1,250</v>
      </c>
      <c r="BD227" s="4" t="str">
        <f t="shared" si="836"/>
        <v>1,250</v>
      </c>
      <c r="BE227" s="4" t="str">
        <f t="shared" si="837"/>
        <v>1,250</v>
      </c>
      <c r="BF227" s="4" t="str">
        <f t="shared" si="838"/>
        <v>1,250</v>
      </c>
      <c r="BG227" s="4" t="str">
        <f t="shared" si="839"/>
        <v>1,250</v>
      </c>
      <c r="BH227" s="4" t="str">
        <f t="shared" si="840"/>
        <v>1,250</v>
      </c>
      <c r="BI227" s="4" t="str">
        <f t="shared" si="841"/>
        <v>1,250</v>
      </c>
      <c r="BJ227" s="4" t="str">
        <f t="shared" si="842"/>
        <v>1,250</v>
      </c>
    </row>
    <row r="228" customHeight="1" spans="1:62">
      <c r="A228" s="62">
        <v>1342</v>
      </c>
      <c r="B228" s="63" t="s">
        <v>104</v>
      </c>
      <c r="C228" s="64" t="s">
        <v>218</v>
      </c>
      <c r="D228" s="46" t="s">
        <v>382</v>
      </c>
      <c r="E228" s="66">
        <v>3</v>
      </c>
      <c r="F228" s="35">
        <v>1</v>
      </c>
      <c r="G228" s="35">
        <f t="shared" si="843"/>
        <v>1</v>
      </c>
      <c r="H228" s="35">
        <v>1</v>
      </c>
      <c r="I228" s="35">
        <v>1</v>
      </c>
      <c r="J228" s="35">
        <v>1</v>
      </c>
      <c r="K228" s="35">
        <v>1</v>
      </c>
      <c r="L228" s="35">
        <v>1</v>
      </c>
      <c r="M228" s="35"/>
      <c r="N228">
        <f t="shared" si="844"/>
        <v>1500</v>
      </c>
      <c r="O228" s="35">
        <v>1</v>
      </c>
      <c r="P228" s="24">
        <f>ROUND(INDEX($C$2:$C$5,MATCH($E228,$B$2:$B$5,0))*$F228/SUMIFS($F:$F,$E:$E,$E228,$B:$B,$B228,O:O,1)*IF(B228=$B$10,0.9,1),0)</f>
        <v>250</v>
      </c>
      <c r="Q228" s="24">
        <f t="shared" ref="Q228:U228" si="945">IF($L228&lt;=Q$8,1,0)</f>
        <v>1</v>
      </c>
      <c r="R228" s="24">
        <f>ROUND(INDEX($C$2:$C$5,MATCH($E228,$B$2:$B$5,0))*$I228/SUMIFS($I:$I,$E:$E,$E228,$B:$B,$B228,Q:Q,1)*IF(B228=$B$10,0.9,1),0)</f>
        <v>300</v>
      </c>
      <c r="S228" s="24">
        <f t="shared" si="945"/>
        <v>1</v>
      </c>
      <c r="T228" s="24">
        <f>ROUND(INDEX($C$2:$C$5,MATCH($E228,$B$2:$B$5,0))*$J228/SUMIFS($J:$J,$E:$E,$E228,$B:$B,$B228,S:S,1)*IF(B228=$B$10,0.9,1),0)</f>
        <v>300</v>
      </c>
      <c r="U228" s="24">
        <f t="shared" si="945"/>
        <v>1</v>
      </c>
      <c r="V228" s="24">
        <f>ROUND(INDEX($C$2:$C$5,MATCH($E228,$B$2:$B$5,0))*$K228/SUMIFS($K:$K,$E:$E,$E228,$B:$B,$B228,U:U,1)*IF(B228=$B$10,0.9,1),0)</f>
        <v>300</v>
      </c>
      <c r="W228" s="24">
        <f t="shared" ref="W228:AA228" si="946">IF($L228&lt;=W$8,1,0)</f>
        <v>1</v>
      </c>
      <c r="X228" s="24">
        <f>ROUND(INDEX($C$2:$C$5,MATCH($E228,$B$2:$B$5,0))*$F228/SUMIFS($F:$F,$E:$E,$E228,$B:$B,$B228,W:W,1)*IF(B228=$B$10,0.9,1),0)</f>
        <v>250</v>
      </c>
      <c r="Y228" s="24">
        <f t="shared" si="946"/>
        <v>1</v>
      </c>
      <c r="Z228" s="24">
        <f>ROUND(INDEX($C$2:$C$5,MATCH($E228,$B$2:$B$5,0))*$G228/SUMIFS($G:$G,$E:$E,$E228,$B:$B,$B228,Y:Y,1)*IF(B228=$B$10,0.9,1),0)</f>
        <v>250</v>
      </c>
      <c r="AA228" s="24">
        <f t="shared" si="946"/>
        <v>1</v>
      </c>
      <c r="AB228" s="24">
        <f>ROUND(INDEX($C$2:$C$5,MATCH($E228,$B$2:$B$5,0))*$H228/SUMIFS($H:$H,$E:$E,$E228,$B:$B,$B228,AA:AA,1)*IF(B228=$B$10,0.9,1),0)</f>
        <v>250</v>
      </c>
      <c r="AC228" s="24">
        <f t="shared" ref="AC228:AG228" si="947">IF($L228&lt;=AC$8,1,0)</f>
        <v>1</v>
      </c>
      <c r="AD228" s="24">
        <f>ROUND(INDEX($C$2:$C$5,MATCH($E228,$B$2:$B$5,0))*$F228/SUMIFS($F:$F,$E:$E,$E228,$B:$B,$B228,AC:AC,1)*IF(B228=$B$10,0.9,1),0)</f>
        <v>250</v>
      </c>
      <c r="AE228" s="24">
        <f t="shared" si="947"/>
        <v>1</v>
      </c>
      <c r="AF228" s="24">
        <f>ROUND(INDEX($C$2:$C$5,MATCH($E228,$B$2:$B$5,0))*$G228/SUMIFS($G:$G,$E:$E,$E228,$B:$B,$B228,AE:AE,1)*IF(B228=$B$10,0.9,1),0)</f>
        <v>250</v>
      </c>
      <c r="AG228" s="24">
        <f t="shared" si="947"/>
        <v>1</v>
      </c>
      <c r="AH228" s="24">
        <f>ROUND(INDEX($C$2:$C$5,MATCH($E228,$B$2:$B$5,0))*$H228/SUMIFS($H:$H,$E:$E,$E228,$B:$B,$B228,AG:AG,1)*IF(B228=$B$10,0.9,1),0)</f>
        <v>250</v>
      </c>
      <c r="AI228" s="24">
        <f t="shared" ref="AI228:AM228" si="948">IF($L228&lt;=AI$8,1,0)</f>
        <v>1</v>
      </c>
      <c r="AJ228" s="24">
        <f>ROUND(INDEX($C$2:$C$5,MATCH($E228,$B$2:$B$5,0))*$F228/SUMIFS($F:$F,$E:$E,$E228,$B:$B,$B228,AI:AI,1)*IF(B228=$B$10,0.9,1),0)</f>
        <v>250</v>
      </c>
      <c r="AK228" s="24">
        <f t="shared" si="948"/>
        <v>1</v>
      </c>
      <c r="AL228" s="24">
        <f>ROUND(INDEX($C$2:$C$5,MATCH($E228,$B$2:$B$5,0))*$G228/SUMIFS($G:$G,$E:$E,$E228,$B:$B,$B228,AK:AK,1)*IF(B228=$B$10,0.9,1),0)</f>
        <v>250</v>
      </c>
      <c r="AM228" s="24">
        <f t="shared" si="948"/>
        <v>1</v>
      </c>
      <c r="AN228" s="24">
        <f>ROUND(INDEX($C$2:$C$5,MATCH($E228,$B$2:$B$5,0))*$H228/SUMIFS($H:$H,$E:$E,$E228,$B:$B,$B228,AM:AM,1)*IF(B228=$B$10,0.9,1),0)</f>
        <v>250</v>
      </c>
      <c r="AX228" s="4" t="str">
        <f t="shared" si="830"/>
        <v>1,250</v>
      </c>
      <c r="AY228" s="4" t="str">
        <f t="shared" si="831"/>
        <v>1,300</v>
      </c>
      <c r="AZ228" s="4" t="str">
        <f t="shared" si="832"/>
        <v>1,300</v>
      </c>
      <c r="BA228" s="4" t="str">
        <f t="shared" si="833"/>
        <v>1,300</v>
      </c>
      <c r="BB228" s="4" t="str">
        <f t="shared" si="834"/>
        <v>1,250</v>
      </c>
      <c r="BC228" s="4" t="str">
        <f t="shared" si="835"/>
        <v>1,250</v>
      </c>
      <c r="BD228" s="4" t="str">
        <f t="shared" si="836"/>
        <v>1,250</v>
      </c>
      <c r="BE228" s="4" t="str">
        <f t="shared" si="837"/>
        <v>1,250</v>
      </c>
      <c r="BF228" s="4" t="str">
        <f t="shared" si="838"/>
        <v>1,250</v>
      </c>
      <c r="BG228" s="4" t="str">
        <f t="shared" si="839"/>
        <v>1,250</v>
      </c>
      <c r="BH228" s="4" t="str">
        <f t="shared" si="840"/>
        <v>1,250</v>
      </c>
      <c r="BI228" s="4" t="str">
        <f t="shared" si="841"/>
        <v>1,250</v>
      </c>
      <c r="BJ228" s="4" t="str">
        <f t="shared" si="842"/>
        <v>1,250</v>
      </c>
    </row>
    <row r="229" customHeight="1" spans="1:62">
      <c r="A229" s="62">
        <v>1351</v>
      </c>
      <c r="B229" s="63" t="s">
        <v>104</v>
      </c>
      <c r="C229" s="64" t="s">
        <v>218</v>
      </c>
      <c r="D229" s="47" t="s">
        <v>416</v>
      </c>
      <c r="E229" s="66">
        <v>4</v>
      </c>
      <c r="F229" s="35">
        <v>1</v>
      </c>
      <c r="G229" s="35">
        <f t="shared" si="843"/>
        <v>1</v>
      </c>
      <c r="H229" s="35">
        <v>1</v>
      </c>
      <c r="I229" s="35">
        <v>1</v>
      </c>
      <c r="J229" s="35">
        <v>1</v>
      </c>
      <c r="K229" s="35">
        <v>1</v>
      </c>
      <c r="L229" s="35">
        <v>1</v>
      </c>
      <c r="M229" s="35"/>
      <c r="N229">
        <f t="shared" si="844"/>
        <v>500</v>
      </c>
      <c r="O229" s="35">
        <v>1</v>
      </c>
      <c r="P229" s="24">
        <f>ROUND(INDEX($C$2:$C$5,MATCH($E229,$B$2:$B$5,0))*$F229/SUMIFS($F:$F,$E:$E,$E229,$B:$B,$B229,O:O,1)*IF(B229=$B$10,0.9,1),0)</f>
        <v>250</v>
      </c>
      <c r="Q229" s="24">
        <f t="shared" ref="Q229:U229" si="949">IF($L229&lt;=Q$8,1,0)</f>
        <v>1</v>
      </c>
      <c r="R229" s="24">
        <f>ROUND(INDEX($C$2:$C$5,MATCH($E229,$B$2:$B$5,0))*$I229/SUMIFS($I:$I,$E:$E,$E229,$B:$B,$B229,Q:Q,1)*IF(B229=$B$10,0.9,1),0)</f>
        <v>500</v>
      </c>
      <c r="S229" s="24">
        <f t="shared" si="949"/>
        <v>1</v>
      </c>
      <c r="T229" s="24">
        <f>ROUND(INDEX($C$2:$C$5,MATCH($E229,$B$2:$B$5,0))*$J229/SUMIFS($J:$J,$E:$E,$E229,$B:$B,$B229,S:S,1)*IF(B229=$B$10,0.9,1),0)</f>
        <v>500</v>
      </c>
      <c r="U229" s="24">
        <f t="shared" si="949"/>
        <v>1</v>
      </c>
      <c r="V229" s="24">
        <f>ROUND(INDEX($C$2:$C$5,MATCH($E229,$B$2:$B$5,0))*$K229/SUMIFS($K:$K,$E:$E,$E229,$B:$B,$B229,U:U,1)*IF(B229=$B$10,0.9,1),0)</f>
        <v>500</v>
      </c>
      <c r="W229" s="24">
        <f t="shared" ref="W229:AA229" si="950">IF($L229&lt;=W$8,1,0)</f>
        <v>1</v>
      </c>
      <c r="X229" s="24">
        <f>ROUND(INDEX($C$2:$C$5,MATCH($E229,$B$2:$B$5,0))*$F229/SUMIFS($F:$F,$E:$E,$E229,$B:$B,$B229,W:W,1)*IF(B229=$B$10,0.9,1),0)</f>
        <v>500</v>
      </c>
      <c r="Y229" s="24">
        <f t="shared" si="950"/>
        <v>1</v>
      </c>
      <c r="Z229" s="24">
        <f>ROUND(INDEX($C$2:$C$5,MATCH($E229,$B$2:$B$5,0))*$G229/SUMIFS($G:$G,$E:$E,$E229,$B:$B,$B229,Y:Y,1)*IF(B229=$B$10,0.9,1),0)</f>
        <v>500</v>
      </c>
      <c r="AA229" s="24">
        <f t="shared" si="950"/>
        <v>1</v>
      </c>
      <c r="AB229" s="24">
        <f>ROUND(INDEX($C$2:$C$5,MATCH($E229,$B$2:$B$5,0))*$H229/SUMIFS($H:$H,$E:$E,$E229,$B:$B,$B229,AA:AA,1)*IF(B229=$B$10,0.9,1),0)</f>
        <v>500</v>
      </c>
      <c r="AC229" s="24">
        <f t="shared" ref="AC229:AG229" si="951">IF($L229&lt;=AC$8,1,0)</f>
        <v>1</v>
      </c>
      <c r="AD229" s="24">
        <f>ROUND(INDEX($C$2:$C$5,MATCH($E229,$B$2:$B$5,0))*$F229/SUMIFS($F:$F,$E:$E,$E229,$B:$B,$B229,AC:AC,1)*IF(B229=$B$10,0.9,1),0)</f>
        <v>250</v>
      </c>
      <c r="AE229" s="24">
        <f t="shared" si="951"/>
        <v>1</v>
      </c>
      <c r="AF229" s="24">
        <f>ROUND(INDEX($C$2:$C$5,MATCH($E229,$B$2:$B$5,0))*$G229/SUMIFS($G:$G,$E:$E,$E229,$B:$B,$B229,AE:AE,1)*IF(B229=$B$10,0.9,1),0)</f>
        <v>250</v>
      </c>
      <c r="AG229" s="24">
        <f t="shared" si="951"/>
        <v>1</v>
      </c>
      <c r="AH229" s="24">
        <f>ROUND(INDEX($C$2:$C$5,MATCH($E229,$B$2:$B$5,0))*$H229/SUMIFS($H:$H,$E:$E,$E229,$B:$B,$B229,AG:AG,1)*IF(B229=$B$10,0.9,1),0)</f>
        <v>250</v>
      </c>
      <c r="AI229" s="24">
        <f t="shared" ref="AI229:AM229" si="952">IF($L229&lt;=AI$8,1,0)</f>
        <v>1</v>
      </c>
      <c r="AJ229" s="24">
        <f>ROUND(INDEX($C$2:$C$5,MATCH($E229,$B$2:$B$5,0))*$F229/SUMIFS($F:$F,$E:$E,$E229,$B:$B,$B229,AI:AI,1)*IF(B229=$B$10,0.9,1),0)</f>
        <v>250</v>
      </c>
      <c r="AK229" s="24">
        <f t="shared" si="952"/>
        <v>1</v>
      </c>
      <c r="AL229" s="24">
        <f>ROUND(INDEX($C$2:$C$5,MATCH($E229,$B$2:$B$5,0))*$G229/SUMIFS($G:$G,$E:$E,$E229,$B:$B,$B229,AK:AK,1)*IF(B229=$B$10,0.9,1),0)</f>
        <v>250</v>
      </c>
      <c r="AM229" s="24">
        <f t="shared" si="952"/>
        <v>1</v>
      </c>
      <c r="AN229" s="24">
        <f>ROUND(INDEX($C$2:$C$5,MATCH($E229,$B$2:$B$5,0))*$H229/SUMIFS($H:$H,$E:$E,$E229,$B:$B,$B229,AM:AM,1)*IF(B229=$B$10,0.9,1),0)</f>
        <v>250</v>
      </c>
      <c r="AX229" s="4" t="str">
        <f t="shared" si="830"/>
        <v>1,250</v>
      </c>
      <c r="AY229" s="4" t="str">
        <f t="shared" si="831"/>
        <v>1,500</v>
      </c>
      <c r="AZ229" s="4" t="str">
        <f t="shared" si="832"/>
        <v>1,500</v>
      </c>
      <c r="BA229" s="4" t="str">
        <f t="shared" si="833"/>
        <v>1,500</v>
      </c>
      <c r="BB229" s="4" t="str">
        <f t="shared" si="834"/>
        <v>1,500</v>
      </c>
      <c r="BC229" s="4" t="str">
        <f t="shared" si="835"/>
        <v>1,500</v>
      </c>
      <c r="BD229" s="4" t="str">
        <f t="shared" si="836"/>
        <v>1,500</v>
      </c>
      <c r="BE229" s="4" t="str">
        <f t="shared" si="837"/>
        <v>1,250</v>
      </c>
      <c r="BF229" s="4" t="str">
        <f t="shared" si="838"/>
        <v>1,250</v>
      </c>
      <c r="BG229" s="4" t="str">
        <f t="shared" si="839"/>
        <v>1,250</v>
      </c>
      <c r="BH229" s="4" t="str">
        <f t="shared" si="840"/>
        <v>1,250</v>
      </c>
      <c r="BI229" s="4" t="str">
        <f t="shared" si="841"/>
        <v>1,250</v>
      </c>
      <c r="BJ229" s="4" t="str">
        <f t="shared" si="842"/>
        <v>1,250</v>
      </c>
    </row>
    <row r="230" customHeight="1" spans="1:62">
      <c r="A230" s="62">
        <v>1352</v>
      </c>
      <c r="B230" s="63" t="s">
        <v>104</v>
      </c>
      <c r="C230" s="64" t="s">
        <v>218</v>
      </c>
      <c r="D230" s="48" t="s">
        <v>417</v>
      </c>
      <c r="E230" s="67">
        <v>4</v>
      </c>
      <c r="F230" s="35">
        <v>1</v>
      </c>
      <c r="G230" s="35">
        <f t="shared" si="843"/>
        <v>1</v>
      </c>
      <c r="H230" s="35">
        <v>1</v>
      </c>
      <c r="I230" s="35">
        <v>1</v>
      </c>
      <c r="J230" s="35">
        <v>1</v>
      </c>
      <c r="K230" s="35">
        <v>1</v>
      </c>
      <c r="L230" s="35">
        <v>3</v>
      </c>
      <c r="M230" s="35"/>
      <c r="N230">
        <f t="shared" si="844"/>
        <v>500</v>
      </c>
      <c r="O230" s="35">
        <v>1</v>
      </c>
      <c r="P230" s="24">
        <f>ROUND(INDEX($C$2:$C$5,MATCH($E230,$B$2:$B$5,0))*$F230/SUMIFS($F:$F,$E:$E,$E230,$B:$B,$B230,O:O,1)*IF(B230=$B$10,0.9,1),0)</f>
        <v>250</v>
      </c>
      <c r="Q230" s="24">
        <f t="shared" ref="Q230:U230" si="953">IF($L230&lt;=Q$8,1,0)</f>
        <v>0</v>
      </c>
      <c r="R230" s="24">
        <f>ROUND(INDEX($C$2:$C$5,MATCH($E230,$B$2:$B$5,0))*$I230/SUMIFS($I:$I,$E:$E,$E230,$B:$B,$B230,Q:Q,1)*IF(B230=$B$10,0.9,1),0)</f>
        <v>500</v>
      </c>
      <c r="S230" s="24">
        <f t="shared" si="953"/>
        <v>0</v>
      </c>
      <c r="T230" s="24">
        <f>ROUND(INDEX($C$2:$C$5,MATCH($E230,$B$2:$B$5,0))*$J230/SUMIFS($J:$J,$E:$E,$E230,$B:$B,$B230,S:S,1)*IF(B230=$B$10,0.9,1),0)</f>
        <v>500</v>
      </c>
      <c r="U230" s="24">
        <f t="shared" si="953"/>
        <v>0</v>
      </c>
      <c r="V230" s="24">
        <f>ROUND(INDEX($C$2:$C$5,MATCH($E230,$B$2:$B$5,0))*$K230/SUMIFS($K:$K,$E:$E,$E230,$B:$B,$B230,U:U,1)*IF(B230=$B$10,0.9,1),0)</f>
        <v>500</v>
      </c>
      <c r="W230" s="24">
        <f t="shared" ref="W230:AA230" si="954">IF($L230&lt;=W$8,1,0)</f>
        <v>0</v>
      </c>
      <c r="X230" s="24">
        <f>ROUND(INDEX($C$2:$C$5,MATCH($E230,$B$2:$B$5,0))*$F230/SUMIFS($F:$F,$E:$E,$E230,$B:$B,$B230,W:W,1)*IF(B230=$B$10,0.9,1),0)</f>
        <v>500</v>
      </c>
      <c r="Y230" s="24">
        <f t="shared" si="954"/>
        <v>0</v>
      </c>
      <c r="Z230" s="24">
        <f>ROUND(INDEX($C$2:$C$5,MATCH($E230,$B$2:$B$5,0))*$G230/SUMIFS($G:$G,$E:$E,$E230,$B:$B,$B230,Y:Y,1)*IF(B230=$B$10,0.9,1),0)</f>
        <v>500</v>
      </c>
      <c r="AA230" s="24">
        <f t="shared" si="954"/>
        <v>0</v>
      </c>
      <c r="AB230" s="24">
        <f>ROUND(INDEX($C$2:$C$5,MATCH($E230,$B$2:$B$5,0))*$H230/SUMIFS($H:$H,$E:$E,$E230,$B:$B,$B230,AA:AA,1)*IF(B230=$B$10,0.9,1),0)</f>
        <v>500</v>
      </c>
      <c r="AC230" s="24">
        <f t="shared" ref="AC230:AG230" si="955">IF($L230&lt;=AC$8,1,0)</f>
        <v>1</v>
      </c>
      <c r="AD230" s="24">
        <f>ROUND(INDEX($C$2:$C$5,MATCH($E230,$B$2:$B$5,0))*$F230/SUMIFS($F:$F,$E:$E,$E230,$B:$B,$B230,AC:AC,1)*IF(B230=$B$10,0.9,1),0)</f>
        <v>250</v>
      </c>
      <c r="AE230" s="24">
        <f t="shared" si="955"/>
        <v>1</v>
      </c>
      <c r="AF230" s="24">
        <f>ROUND(INDEX($C$2:$C$5,MATCH($E230,$B$2:$B$5,0))*$G230/SUMIFS($G:$G,$E:$E,$E230,$B:$B,$B230,AE:AE,1)*IF(B230=$B$10,0.9,1),0)</f>
        <v>250</v>
      </c>
      <c r="AG230" s="24">
        <f t="shared" si="955"/>
        <v>1</v>
      </c>
      <c r="AH230" s="24">
        <f>ROUND(INDEX($C$2:$C$5,MATCH($E230,$B$2:$B$5,0))*$H230/SUMIFS($H:$H,$E:$E,$E230,$B:$B,$B230,AG:AG,1)*IF(B230=$B$10,0.9,1),0)</f>
        <v>250</v>
      </c>
      <c r="AI230" s="24">
        <f t="shared" ref="AI230:AM230" si="956">IF($L230&lt;=AI$8,1,0)</f>
        <v>1</v>
      </c>
      <c r="AJ230" s="24">
        <f>ROUND(INDEX($C$2:$C$5,MATCH($E230,$B$2:$B$5,0))*$F230/SUMIFS($F:$F,$E:$E,$E230,$B:$B,$B230,AI:AI,1)*IF(B230=$B$10,0.9,1),0)</f>
        <v>250</v>
      </c>
      <c r="AK230" s="24">
        <f t="shared" si="956"/>
        <v>1</v>
      </c>
      <c r="AL230" s="24">
        <f>ROUND(INDEX($C$2:$C$5,MATCH($E230,$B$2:$B$5,0))*$G230/SUMIFS($G:$G,$E:$E,$E230,$B:$B,$B230,AK:AK,1)*IF(B230=$B$10,0.9,1),0)</f>
        <v>250</v>
      </c>
      <c r="AM230" s="24">
        <f t="shared" si="956"/>
        <v>1</v>
      </c>
      <c r="AN230" s="24">
        <f>ROUND(INDEX($C$2:$C$5,MATCH($E230,$B$2:$B$5,0))*$H230/SUMIFS($H:$H,$E:$E,$E230,$B:$B,$B230,AM:AM,1)*IF(B230=$B$10,0.9,1),0)</f>
        <v>250</v>
      </c>
      <c r="AX230" s="4" t="str">
        <f t="shared" si="830"/>
        <v>1,250</v>
      </c>
      <c r="AY230" s="4" t="str">
        <f t="shared" si="831"/>
        <v>0,500</v>
      </c>
      <c r="AZ230" s="4" t="str">
        <f t="shared" si="832"/>
        <v>0,500</v>
      </c>
      <c r="BA230" s="4" t="str">
        <f t="shared" si="833"/>
        <v>0,500</v>
      </c>
      <c r="BB230" s="4" t="str">
        <f t="shared" si="834"/>
        <v>0,500</v>
      </c>
      <c r="BC230" s="4" t="str">
        <f t="shared" si="835"/>
        <v>0,500</v>
      </c>
      <c r="BD230" s="4" t="str">
        <f t="shared" si="836"/>
        <v>0,500</v>
      </c>
      <c r="BE230" s="4" t="str">
        <f t="shared" si="837"/>
        <v>1,250</v>
      </c>
      <c r="BF230" s="4" t="str">
        <f t="shared" si="838"/>
        <v>1,250</v>
      </c>
      <c r="BG230" s="4" t="str">
        <f t="shared" si="839"/>
        <v>1,250</v>
      </c>
      <c r="BH230" s="4" t="str">
        <f t="shared" si="840"/>
        <v>1,250</v>
      </c>
      <c r="BI230" s="4" t="str">
        <f t="shared" si="841"/>
        <v>1,250</v>
      </c>
      <c r="BJ230" s="4" t="str">
        <f t="shared" si="842"/>
        <v>1,250</v>
      </c>
    </row>
    <row r="231" customHeight="1" spans="1:62">
      <c r="A231" s="62">
        <v>1401</v>
      </c>
      <c r="B231" s="63" t="s">
        <v>109</v>
      </c>
      <c r="C231" s="64" t="s">
        <v>218</v>
      </c>
      <c r="D231" s="41" t="s">
        <v>356</v>
      </c>
      <c r="E231" s="67">
        <v>1</v>
      </c>
      <c r="F231" s="35">
        <v>1</v>
      </c>
      <c r="G231" s="35">
        <f t="shared" si="843"/>
        <v>1</v>
      </c>
      <c r="H231" s="35">
        <v>1</v>
      </c>
      <c r="I231" s="35">
        <v>1</v>
      </c>
      <c r="J231" s="35">
        <v>1</v>
      </c>
      <c r="K231" s="35">
        <v>1</v>
      </c>
      <c r="L231" s="35">
        <v>1</v>
      </c>
      <c r="M231" s="35"/>
      <c r="N231">
        <f t="shared" si="844"/>
        <v>13500</v>
      </c>
      <c r="O231" s="35">
        <v>1</v>
      </c>
      <c r="P231" s="24">
        <f>ROUND(INDEX($C$2:$C$5,MATCH($E231,$B$2:$B$5,0))*$F231/SUMIFS($F:$F,$E:$E,$E231,$B:$B,$B231,O:O,1)*IF(B231=$B$10,0.9,1),0)</f>
        <v>4500</v>
      </c>
      <c r="Q231" s="24">
        <f t="shared" ref="Q231:U231" si="957">IF($L231&lt;=Q$8,1,0)</f>
        <v>1</v>
      </c>
      <c r="R231" s="24">
        <f>ROUND(INDEX($C$2:$C$5,MATCH($E231,$B$2:$B$5,0))*$I231/SUMIFS($I:$I,$E:$E,$E231,$B:$B,$B231,Q:Q,1)*IF(B231=$B$10,0.9,1),0)</f>
        <v>4500</v>
      </c>
      <c r="S231" s="24">
        <f t="shared" si="957"/>
        <v>1</v>
      </c>
      <c r="T231" s="24">
        <f>ROUND(INDEX($C$2:$C$5,MATCH($E231,$B$2:$B$5,0))*$J231/SUMIFS($J:$J,$E:$E,$E231,$B:$B,$B231,S:S,1)*IF(B231=$B$10,0.9,1),0)</f>
        <v>4500</v>
      </c>
      <c r="U231" s="24">
        <f t="shared" si="957"/>
        <v>1</v>
      </c>
      <c r="V231" s="24">
        <f>ROUND(INDEX($C$2:$C$5,MATCH($E231,$B$2:$B$5,0))*$K231/SUMIFS($K:$K,$E:$E,$E231,$B:$B,$B231,U:U,1)*IF(B231=$B$10,0.9,1),0)</f>
        <v>4500</v>
      </c>
      <c r="W231" s="24">
        <f t="shared" ref="W231:AA231" si="958">IF($L231&lt;=W$8,1,0)</f>
        <v>1</v>
      </c>
      <c r="X231" s="24">
        <f>ROUND(INDEX($C$2:$C$5,MATCH($E231,$B$2:$B$5,0))*$F231/SUMIFS($F:$F,$E:$E,$E231,$B:$B,$B231,W:W,1)*IF(B231=$B$10,0.9,1),0)</f>
        <v>4500</v>
      </c>
      <c r="Y231" s="24">
        <f t="shared" si="958"/>
        <v>1</v>
      </c>
      <c r="Z231" s="24">
        <f>ROUND(INDEX($C$2:$C$5,MATCH($E231,$B$2:$B$5,0))*$G231/SUMIFS($G:$G,$E:$E,$E231,$B:$B,$B231,Y:Y,1)*IF(B231=$B$10,0.9,1),0)</f>
        <v>4500</v>
      </c>
      <c r="AA231" s="24">
        <f t="shared" si="958"/>
        <v>1</v>
      </c>
      <c r="AB231" s="24">
        <f>ROUND(INDEX($C$2:$C$5,MATCH($E231,$B$2:$B$5,0))*$H231/SUMIFS($H:$H,$E:$E,$E231,$B:$B,$B231,AA:AA,1)*IF(B231=$B$10,0.9,1),0)</f>
        <v>4500</v>
      </c>
      <c r="AC231" s="24">
        <f t="shared" ref="AC231:AG231" si="959">IF($L231&lt;=AC$8,1,0)</f>
        <v>1</v>
      </c>
      <c r="AD231" s="24">
        <f>ROUND(INDEX($C$2:$C$5,MATCH($E231,$B$2:$B$5,0))*$F231/SUMIFS($F:$F,$E:$E,$E231,$B:$B,$B231,AC:AC,1)*IF(B231=$B$10,0.9,1),0)</f>
        <v>4500</v>
      </c>
      <c r="AE231" s="24">
        <f t="shared" si="959"/>
        <v>1</v>
      </c>
      <c r="AF231" s="24">
        <f>ROUND(INDEX($C$2:$C$5,MATCH($E231,$B$2:$B$5,0))*$G231/SUMIFS($G:$G,$E:$E,$E231,$B:$B,$B231,AE:AE,1)*IF(B231=$B$10,0.9,1),0)</f>
        <v>4500</v>
      </c>
      <c r="AG231" s="24">
        <f t="shared" si="959"/>
        <v>1</v>
      </c>
      <c r="AH231" s="24">
        <f>ROUND(INDEX($C$2:$C$5,MATCH($E231,$B$2:$B$5,0))*$H231/SUMIFS($H:$H,$E:$E,$E231,$B:$B,$B231,AG:AG,1)*IF(B231=$B$10,0.9,1),0)</f>
        <v>4500</v>
      </c>
      <c r="AI231" s="24">
        <f t="shared" ref="AI231:AM231" si="960">IF($L231&lt;=AI$8,1,0)</f>
        <v>1</v>
      </c>
      <c r="AJ231" s="24">
        <f>ROUND(INDEX($C$2:$C$5,MATCH($E231,$B$2:$B$5,0))*$F231/SUMIFS($F:$F,$E:$E,$E231,$B:$B,$B231,AI:AI,1)*IF(B231=$B$10,0.9,1),0)</f>
        <v>4500</v>
      </c>
      <c r="AK231" s="24">
        <f t="shared" si="960"/>
        <v>1</v>
      </c>
      <c r="AL231" s="24">
        <f>ROUND(INDEX($C$2:$C$5,MATCH($E231,$B$2:$B$5,0))*$G231/SUMIFS($G:$G,$E:$E,$E231,$B:$B,$B231,AK:AK,1)*IF(B231=$B$10,0.9,1),0)</f>
        <v>4500</v>
      </c>
      <c r="AM231" s="24">
        <f t="shared" si="960"/>
        <v>1</v>
      </c>
      <c r="AN231" s="24">
        <f>ROUND(INDEX($C$2:$C$5,MATCH($E231,$B$2:$B$5,0))*$H231/SUMIFS($H:$H,$E:$E,$E231,$B:$B,$B231,AM:AM,1)*IF(B231=$B$10,0.9,1),0)</f>
        <v>4500</v>
      </c>
      <c r="AX231" s="4" t="str">
        <f t="shared" si="830"/>
        <v>1,4500</v>
      </c>
      <c r="AY231" s="4" t="str">
        <f t="shared" si="831"/>
        <v>1,4500</v>
      </c>
      <c r="AZ231" s="4" t="str">
        <f t="shared" si="832"/>
        <v>1,4500</v>
      </c>
      <c r="BA231" s="4" t="str">
        <f t="shared" si="833"/>
        <v>1,4500</v>
      </c>
      <c r="BB231" s="4" t="str">
        <f t="shared" si="834"/>
        <v>1,4500</v>
      </c>
      <c r="BC231" s="4" t="str">
        <f t="shared" si="835"/>
        <v>1,4500</v>
      </c>
      <c r="BD231" s="4" t="str">
        <f t="shared" si="836"/>
        <v>1,4500</v>
      </c>
      <c r="BE231" s="4" t="str">
        <f t="shared" si="837"/>
        <v>1,4500</v>
      </c>
      <c r="BF231" s="4" t="str">
        <f t="shared" si="838"/>
        <v>1,4500</v>
      </c>
      <c r="BG231" s="4" t="str">
        <f t="shared" si="839"/>
        <v>1,4500</v>
      </c>
      <c r="BH231" s="4" t="str">
        <f t="shared" si="840"/>
        <v>1,4500</v>
      </c>
      <c r="BI231" s="4" t="str">
        <f t="shared" si="841"/>
        <v>1,4500</v>
      </c>
      <c r="BJ231" s="4" t="str">
        <f t="shared" si="842"/>
        <v>1,4500</v>
      </c>
    </row>
    <row r="232" customHeight="1" spans="1:62">
      <c r="A232" s="62">
        <v>1402</v>
      </c>
      <c r="B232" s="54" t="s">
        <v>109</v>
      </c>
      <c r="C232" s="64"/>
      <c r="D232" s="41" t="s">
        <v>357</v>
      </c>
      <c r="E232" s="62">
        <v>1</v>
      </c>
      <c r="F232" s="35">
        <v>1</v>
      </c>
      <c r="G232" s="35">
        <f t="shared" si="843"/>
        <v>1</v>
      </c>
      <c r="H232" s="35">
        <v>1</v>
      </c>
      <c r="I232" s="35">
        <v>1</v>
      </c>
      <c r="J232" s="35">
        <v>1</v>
      </c>
      <c r="K232" s="35">
        <v>1</v>
      </c>
      <c r="L232" s="35">
        <v>1</v>
      </c>
      <c r="M232" s="35"/>
      <c r="N232">
        <f t="shared" si="844"/>
        <v>13500</v>
      </c>
      <c r="O232" s="35">
        <v>1</v>
      </c>
      <c r="P232" s="24">
        <f>ROUND(INDEX($C$2:$C$5,MATCH($E232,$B$2:$B$5,0))*$F232/SUMIFS($F:$F,$E:$E,$E232,$B:$B,$B232,O:O,1)*IF(B232=$B$10,0.9,1),0)</f>
        <v>4500</v>
      </c>
      <c r="Q232" s="24">
        <f t="shared" ref="Q232:U232" si="961">IF($L232&lt;=Q$8,1,0)</f>
        <v>1</v>
      </c>
      <c r="R232" s="24">
        <f>ROUND(INDEX($C$2:$C$5,MATCH($E232,$B$2:$B$5,0))*$I232/SUMIFS($I:$I,$E:$E,$E232,$B:$B,$B232,Q:Q,1)*IF(B232=$B$10,0.9,1),0)</f>
        <v>4500</v>
      </c>
      <c r="S232" s="24">
        <f t="shared" si="961"/>
        <v>1</v>
      </c>
      <c r="T232" s="24">
        <f>ROUND(INDEX($C$2:$C$5,MATCH($E232,$B$2:$B$5,0))*$J232/SUMIFS($J:$J,$E:$E,$E232,$B:$B,$B232,S:S,1)*IF(B232=$B$10,0.9,1),0)</f>
        <v>4500</v>
      </c>
      <c r="U232" s="24">
        <f t="shared" si="961"/>
        <v>1</v>
      </c>
      <c r="V232" s="24">
        <f>ROUND(INDEX($C$2:$C$5,MATCH($E232,$B$2:$B$5,0))*$K232/SUMIFS($K:$K,$E:$E,$E232,$B:$B,$B232,U:U,1)*IF(B232=$B$10,0.9,1),0)</f>
        <v>4500</v>
      </c>
      <c r="W232" s="24">
        <f t="shared" ref="W232:AA232" si="962">IF($L232&lt;=W$8,1,0)</f>
        <v>1</v>
      </c>
      <c r="X232" s="24">
        <f>ROUND(INDEX($C$2:$C$5,MATCH($E232,$B$2:$B$5,0))*$F232/SUMIFS($F:$F,$E:$E,$E232,$B:$B,$B232,W:W,1)*IF(B232=$B$10,0.9,1),0)</f>
        <v>4500</v>
      </c>
      <c r="Y232" s="24">
        <f t="shared" si="962"/>
        <v>1</v>
      </c>
      <c r="Z232" s="24">
        <f>ROUND(INDEX($C$2:$C$5,MATCH($E232,$B$2:$B$5,0))*$G232/SUMIFS($G:$G,$E:$E,$E232,$B:$B,$B232,Y:Y,1)*IF(B232=$B$10,0.9,1),0)</f>
        <v>4500</v>
      </c>
      <c r="AA232" s="24">
        <f t="shared" si="962"/>
        <v>1</v>
      </c>
      <c r="AB232" s="24">
        <f>ROUND(INDEX($C$2:$C$5,MATCH($E232,$B$2:$B$5,0))*$H232/SUMIFS($H:$H,$E:$E,$E232,$B:$B,$B232,AA:AA,1)*IF(B232=$B$10,0.9,1),0)</f>
        <v>4500</v>
      </c>
      <c r="AC232" s="24">
        <f t="shared" ref="AC232:AG232" si="963">IF($L232&lt;=AC$8,1,0)</f>
        <v>1</v>
      </c>
      <c r="AD232" s="24">
        <f>ROUND(INDEX($C$2:$C$5,MATCH($E232,$B$2:$B$5,0))*$F232/SUMIFS($F:$F,$E:$E,$E232,$B:$B,$B232,AC:AC,1)*IF(B232=$B$10,0.9,1),0)</f>
        <v>4500</v>
      </c>
      <c r="AE232" s="24">
        <f t="shared" si="963"/>
        <v>1</v>
      </c>
      <c r="AF232" s="24">
        <f>ROUND(INDEX($C$2:$C$5,MATCH($E232,$B$2:$B$5,0))*$G232/SUMIFS($G:$G,$E:$E,$E232,$B:$B,$B232,AE:AE,1)*IF(B232=$B$10,0.9,1),0)</f>
        <v>4500</v>
      </c>
      <c r="AG232" s="24">
        <f t="shared" si="963"/>
        <v>1</v>
      </c>
      <c r="AH232" s="24">
        <f>ROUND(INDEX($C$2:$C$5,MATCH($E232,$B$2:$B$5,0))*$H232/SUMIFS($H:$H,$E:$E,$E232,$B:$B,$B232,AG:AG,1)*IF(B232=$B$10,0.9,1),0)</f>
        <v>4500</v>
      </c>
      <c r="AI232" s="24">
        <f t="shared" ref="AI232:AM232" si="964">IF($L232&lt;=AI$8,1,0)</f>
        <v>1</v>
      </c>
      <c r="AJ232" s="24">
        <f>ROUND(INDEX($C$2:$C$5,MATCH($E232,$B$2:$B$5,0))*$F232/SUMIFS($F:$F,$E:$E,$E232,$B:$B,$B232,AI:AI,1)*IF(B232=$B$10,0.9,1),0)</f>
        <v>4500</v>
      </c>
      <c r="AK232" s="24">
        <f t="shared" si="964"/>
        <v>1</v>
      </c>
      <c r="AL232" s="24">
        <f>ROUND(INDEX($C$2:$C$5,MATCH($E232,$B$2:$B$5,0))*$G232/SUMIFS($G:$G,$E:$E,$E232,$B:$B,$B232,AK:AK,1)*IF(B232=$B$10,0.9,1),0)</f>
        <v>4500</v>
      </c>
      <c r="AM232" s="24">
        <f t="shared" si="964"/>
        <v>1</v>
      </c>
      <c r="AN232" s="24">
        <f>ROUND(INDEX($C$2:$C$5,MATCH($E232,$B$2:$B$5,0))*$H232/SUMIFS($H:$H,$E:$E,$E232,$B:$B,$B232,AM:AM,1)*IF(B232=$B$10,0.9,1),0)</f>
        <v>4500</v>
      </c>
      <c r="AX232" s="4" t="str">
        <f t="shared" si="830"/>
        <v>1,4500</v>
      </c>
      <c r="AY232" s="4" t="str">
        <f t="shared" si="831"/>
        <v>1,4500</v>
      </c>
      <c r="AZ232" s="4" t="str">
        <f t="shared" si="832"/>
        <v>1,4500</v>
      </c>
      <c r="BA232" s="4" t="str">
        <f t="shared" si="833"/>
        <v>1,4500</v>
      </c>
      <c r="BB232" s="4" t="str">
        <f t="shared" si="834"/>
        <v>1,4500</v>
      </c>
      <c r="BC232" s="4" t="str">
        <f t="shared" si="835"/>
        <v>1,4500</v>
      </c>
      <c r="BD232" s="4" t="str">
        <f t="shared" si="836"/>
        <v>1,4500</v>
      </c>
      <c r="BE232" s="4" t="str">
        <f t="shared" si="837"/>
        <v>1,4500</v>
      </c>
      <c r="BF232" s="4" t="str">
        <f t="shared" si="838"/>
        <v>1,4500</v>
      </c>
      <c r="BG232" s="4" t="str">
        <f t="shared" si="839"/>
        <v>1,4500</v>
      </c>
      <c r="BH232" s="4" t="str">
        <f t="shared" si="840"/>
        <v>1,4500</v>
      </c>
      <c r="BI232" s="4" t="str">
        <f t="shared" si="841"/>
        <v>1,4500</v>
      </c>
      <c r="BJ232" s="4" t="str">
        <f t="shared" si="842"/>
        <v>1,4500</v>
      </c>
    </row>
    <row r="233" customHeight="1" spans="1:62">
      <c r="A233" s="62">
        <v>1403</v>
      </c>
      <c r="B233" s="54" t="s">
        <v>109</v>
      </c>
      <c r="C233" s="64"/>
      <c r="D233" s="41" t="s">
        <v>361</v>
      </c>
      <c r="E233" s="65">
        <v>1</v>
      </c>
      <c r="F233" s="35">
        <v>1</v>
      </c>
      <c r="G233" s="35">
        <f t="shared" si="843"/>
        <v>1</v>
      </c>
      <c r="H233" s="35">
        <v>1</v>
      </c>
      <c r="I233" s="35">
        <v>1</v>
      </c>
      <c r="J233" s="35">
        <v>1</v>
      </c>
      <c r="K233" s="35">
        <v>1</v>
      </c>
      <c r="L233" s="35">
        <v>1</v>
      </c>
      <c r="M233" s="35" t="s">
        <v>136</v>
      </c>
      <c r="N233">
        <f t="shared" si="844"/>
        <v>13500</v>
      </c>
      <c r="O233" s="35">
        <v>1</v>
      </c>
      <c r="P233" s="24">
        <f>ROUND(INDEX($C$2:$C$5,MATCH($E233,$B$2:$B$5,0))*$F233/SUMIFS($F:$F,$E:$E,$E233,$B:$B,$B233,O:O,1)*IF(B233=$B$10,0.9,1),0)</f>
        <v>4500</v>
      </c>
      <c r="Q233" s="24">
        <f t="shared" ref="Q233:U233" si="965">IF($L233&lt;=Q$8,1,0)</f>
        <v>1</v>
      </c>
      <c r="R233" s="24">
        <f>ROUND(INDEX($C$2:$C$5,MATCH($E233,$B$2:$B$5,0))*$I233/SUMIFS($I:$I,$E:$E,$E233,$B:$B,$B233,Q:Q,1)*IF(B233=$B$10,0.9,1),0)</f>
        <v>4500</v>
      </c>
      <c r="S233" s="24">
        <f t="shared" si="965"/>
        <v>1</v>
      </c>
      <c r="T233" s="24">
        <f>ROUND(INDEX($C$2:$C$5,MATCH($E233,$B$2:$B$5,0))*$J233/SUMIFS($J:$J,$E:$E,$E233,$B:$B,$B233,S:S,1)*IF(B233=$B$10,0.9,1),0)</f>
        <v>4500</v>
      </c>
      <c r="U233" s="24">
        <f t="shared" si="965"/>
        <v>1</v>
      </c>
      <c r="V233" s="24">
        <f>ROUND(INDEX($C$2:$C$5,MATCH($E233,$B$2:$B$5,0))*$K233/SUMIFS($K:$K,$E:$E,$E233,$B:$B,$B233,U:U,1)*IF(B233=$B$10,0.9,1),0)</f>
        <v>4500</v>
      </c>
      <c r="W233" s="24">
        <f t="shared" ref="W233:AA233" si="966">IF($L233&lt;=W$8,1,0)</f>
        <v>1</v>
      </c>
      <c r="X233" s="24">
        <f>ROUND(INDEX($C$2:$C$5,MATCH($E233,$B$2:$B$5,0))*$F233/SUMIFS($F:$F,$E:$E,$E233,$B:$B,$B233,W:W,1)*IF(B233=$B$10,0.9,1),0)</f>
        <v>4500</v>
      </c>
      <c r="Y233" s="24">
        <f t="shared" si="966"/>
        <v>1</v>
      </c>
      <c r="Z233" s="24">
        <f>ROUND(INDEX($C$2:$C$5,MATCH($E233,$B$2:$B$5,0))*$G233/SUMIFS($G:$G,$E:$E,$E233,$B:$B,$B233,Y:Y,1)*IF(B233=$B$10,0.9,1),0)</f>
        <v>4500</v>
      </c>
      <c r="AA233" s="24">
        <f t="shared" si="966"/>
        <v>1</v>
      </c>
      <c r="AB233" s="24">
        <f>ROUND(INDEX($C$2:$C$5,MATCH($E233,$B$2:$B$5,0))*$H233/SUMIFS($H:$H,$E:$E,$E233,$B:$B,$B233,AA:AA,1)*IF(B233=$B$10,0.9,1),0)</f>
        <v>4500</v>
      </c>
      <c r="AC233" s="24">
        <f t="shared" ref="AC233:AG233" si="967">IF($L233&lt;=AC$8,1,0)</f>
        <v>1</v>
      </c>
      <c r="AD233" s="24">
        <f>ROUND(INDEX($C$2:$C$5,MATCH($E233,$B$2:$B$5,0))*$F233/SUMIFS($F:$F,$E:$E,$E233,$B:$B,$B233,AC:AC,1)*IF(B233=$B$10,0.9,1),0)</f>
        <v>4500</v>
      </c>
      <c r="AE233" s="24">
        <f t="shared" si="967"/>
        <v>1</v>
      </c>
      <c r="AF233" s="24">
        <f>ROUND(INDEX($C$2:$C$5,MATCH($E233,$B$2:$B$5,0))*$G233/SUMIFS($G:$G,$E:$E,$E233,$B:$B,$B233,AE:AE,1)*IF(B233=$B$10,0.9,1),0)</f>
        <v>4500</v>
      </c>
      <c r="AG233" s="24">
        <f t="shared" si="967"/>
        <v>1</v>
      </c>
      <c r="AH233" s="24">
        <f>ROUND(INDEX($C$2:$C$5,MATCH($E233,$B$2:$B$5,0))*$H233/SUMIFS($H:$H,$E:$E,$E233,$B:$B,$B233,AG:AG,1)*IF(B233=$B$10,0.9,1),0)</f>
        <v>4500</v>
      </c>
      <c r="AI233" s="24">
        <f t="shared" ref="AI233:AM233" si="968">IF($L233&lt;=AI$8,1,0)</f>
        <v>1</v>
      </c>
      <c r="AJ233" s="24">
        <f>ROUND(INDEX($C$2:$C$5,MATCH($E233,$B$2:$B$5,0))*$F233/SUMIFS($F:$F,$E:$E,$E233,$B:$B,$B233,AI:AI,1)*IF(B233=$B$10,0.9,1),0)</f>
        <v>4500</v>
      </c>
      <c r="AK233" s="24">
        <f t="shared" si="968"/>
        <v>1</v>
      </c>
      <c r="AL233" s="24">
        <f>ROUND(INDEX($C$2:$C$5,MATCH($E233,$B$2:$B$5,0))*$G233/SUMIFS($G:$G,$E:$E,$E233,$B:$B,$B233,AK:AK,1)*IF(B233=$B$10,0.9,1),0)</f>
        <v>4500</v>
      </c>
      <c r="AM233" s="24">
        <f t="shared" si="968"/>
        <v>1</v>
      </c>
      <c r="AN233" s="24">
        <f>ROUND(INDEX($C$2:$C$5,MATCH($E233,$B$2:$B$5,0))*$H233/SUMIFS($H:$H,$E:$E,$E233,$B:$B,$B233,AM:AM,1)*IF(B233=$B$10,0.9,1),0)</f>
        <v>4500</v>
      </c>
      <c r="AX233" s="4" t="str">
        <f t="shared" si="830"/>
        <v>1,4500</v>
      </c>
      <c r="AY233" s="4" t="str">
        <f t="shared" si="831"/>
        <v>1,4500</v>
      </c>
      <c r="AZ233" s="4" t="str">
        <f t="shared" si="832"/>
        <v>1,4500</v>
      </c>
      <c r="BA233" s="4" t="str">
        <f t="shared" si="833"/>
        <v>1,4500</v>
      </c>
      <c r="BB233" s="4" t="str">
        <f t="shared" si="834"/>
        <v>1,4500</v>
      </c>
      <c r="BC233" s="4" t="str">
        <f t="shared" si="835"/>
        <v>1,4500</v>
      </c>
      <c r="BD233" s="4" t="str">
        <f t="shared" si="836"/>
        <v>1,4500</v>
      </c>
      <c r="BE233" s="4" t="str">
        <f t="shared" si="837"/>
        <v>1,4500</v>
      </c>
      <c r="BF233" s="4" t="str">
        <f t="shared" si="838"/>
        <v>1,4500</v>
      </c>
      <c r="BG233" s="4" t="str">
        <f t="shared" si="839"/>
        <v>1,4500</v>
      </c>
      <c r="BH233" s="4" t="str">
        <f t="shared" si="840"/>
        <v>1,4500</v>
      </c>
      <c r="BI233" s="4" t="str">
        <f t="shared" si="841"/>
        <v>1,4500</v>
      </c>
      <c r="BJ233" s="4" t="str">
        <f t="shared" si="842"/>
        <v>1,4500</v>
      </c>
    </row>
    <row r="234" customHeight="1" spans="1:62">
      <c r="A234" s="62">
        <v>1411</v>
      </c>
      <c r="B234" s="54" t="s">
        <v>109</v>
      </c>
      <c r="C234" s="64"/>
      <c r="D234" s="44" t="s">
        <v>362</v>
      </c>
      <c r="E234" s="65">
        <v>2</v>
      </c>
      <c r="F234" s="35">
        <v>1</v>
      </c>
      <c r="G234" s="35">
        <f t="shared" si="843"/>
        <v>1</v>
      </c>
      <c r="H234" s="35">
        <v>1</v>
      </c>
      <c r="I234" s="35">
        <v>1</v>
      </c>
      <c r="J234" s="35">
        <v>1</v>
      </c>
      <c r="K234" s="35">
        <v>1</v>
      </c>
      <c r="L234" s="35">
        <v>1</v>
      </c>
      <c r="M234" s="35"/>
      <c r="N234">
        <f t="shared" si="844"/>
        <v>4500</v>
      </c>
      <c r="O234" s="35">
        <v>1</v>
      </c>
      <c r="P234" s="24">
        <f>ROUND(INDEX($C$2:$C$5,MATCH($E234,$B$2:$B$5,0))*$F234/SUMIFS($F:$F,$E:$E,$E234,$B:$B,$B234,O:O,1)*IF(B234=$B$10,0.9,1),0)</f>
        <v>750</v>
      </c>
      <c r="Q234" s="24">
        <f t="shared" ref="Q234:U234" si="969">IF($L234&lt;=Q$8,1,0)</f>
        <v>1</v>
      </c>
      <c r="R234" s="24">
        <f>ROUND(INDEX($C$2:$C$5,MATCH($E234,$B$2:$B$5,0))*$I234/SUMIFS($I:$I,$E:$E,$E234,$B:$B,$B234,Q:Q,1)*IF(B234=$B$10,0.9,1),0)</f>
        <v>900</v>
      </c>
      <c r="S234" s="24">
        <f t="shared" si="969"/>
        <v>1</v>
      </c>
      <c r="T234" s="24">
        <f>ROUND(INDEX($C$2:$C$5,MATCH($E234,$B$2:$B$5,0))*$J234/SUMIFS($J:$J,$E:$E,$E234,$B:$B,$B234,S:S,1)*IF(B234=$B$10,0.9,1),0)</f>
        <v>900</v>
      </c>
      <c r="U234" s="24">
        <f t="shared" si="969"/>
        <v>1</v>
      </c>
      <c r="V234" s="24">
        <f>ROUND(INDEX($C$2:$C$5,MATCH($E234,$B$2:$B$5,0))*$K234/SUMIFS($K:$K,$E:$E,$E234,$B:$B,$B234,U:U,1)*IF(B234=$B$10,0.9,1),0)</f>
        <v>900</v>
      </c>
      <c r="W234" s="24">
        <f t="shared" ref="W234:AA234" si="970">IF($L234&lt;=W$8,1,0)</f>
        <v>1</v>
      </c>
      <c r="X234" s="24">
        <f>ROUND(INDEX($C$2:$C$5,MATCH($E234,$B$2:$B$5,0))*$F234/SUMIFS($F:$F,$E:$E,$E234,$B:$B,$B234,W:W,1)*IF(B234=$B$10,0.9,1),0)</f>
        <v>750</v>
      </c>
      <c r="Y234" s="24">
        <f t="shared" si="970"/>
        <v>1</v>
      </c>
      <c r="Z234" s="24">
        <f>ROUND(INDEX($C$2:$C$5,MATCH($E234,$B$2:$B$5,0))*$G234/SUMIFS($G:$G,$E:$E,$E234,$B:$B,$B234,Y:Y,1)*IF(B234=$B$10,0.9,1),0)</f>
        <v>750</v>
      </c>
      <c r="AA234" s="24">
        <f t="shared" si="970"/>
        <v>1</v>
      </c>
      <c r="AB234" s="24">
        <f>ROUND(INDEX($C$2:$C$5,MATCH($E234,$B$2:$B$5,0))*$H234/SUMIFS($H:$H,$E:$E,$E234,$B:$B,$B234,AA:AA,1)*IF(B234=$B$10,0.9,1),0)</f>
        <v>750</v>
      </c>
      <c r="AC234" s="24">
        <f t="shared" ref="AC234:AG234" si="971">IF($L234&lt;=AC$8,1,0)</f>
        <v>1</v>
      </c>
      <c r="AD234" s="24">
        <f>ROUND(INDEX($C$2:$C$5,MATCH($E234,$B$2:$B$5,0))*$F234/SUMIFS($F:$F,$E:$E,$E234,$B:$B,$B234,AC:AC,1)*IF(B234=$B$10,0.9,1),0)</f>
        <v>750</v>
      </c>
      <c r="AE234" s="24">
        <f t="shared" si="971"/>
        <v>1</v>
      </c>
      <c r="AF234" s="24">
        <f>ROUND(INDEX($C$2:$C$5,MATCH($E234,$B$2:$B$5,0))*$G234/SUMIFS($G:$G,$E:$E,$E234,$B:$B,$B234,AE:AE,1)*IF(B234=$B$10,0.9,1),0)</f>
        <v>750</v>
      </c>
      <c r="AG234" s="24">
        <f t="shared" si="971"/>
        <v>1</v>
      </c>
      <c r="AH234" s="24">
        <f>ROUND(INDEX($C$2:$C$5,MATCH($E234,$B$2:$B$5,0))*$H234/SUMIFS($H:$H,$E:$E,$E234,$B:$B,$B234,AG:AG,1)*IF(B234=$B$10,0.9,1),0)</f>
        <v>750</v>
      </c>
      <c r="AI234" s="24">
        <f t="shared" ref="AI234:AM234" si="972">IF($L234&lt;=AI$8,1,0)</f>
        <v>1</v>
      </c>
      <c r="AJ234" s="24">
        <f>ROUND(INDEX($C$2:$C$5,MATCH($E234,$B$2:$B$5,0))*$F234/SUMIFS($F:$F,$E:$E,$E234,$B:$B,$B234,AI:AI,1)*IF(B234=$B$10,0.9,1),0)</f>
        <v>750</v>
      </c>
      <c r="AK234" s="24">
        <f t="shared" si="972"/>
        <v>1</v>
      </c>
      <c r="AL234" s="24">
        <f>ROUND(INDEX($C$2:$C$5,MATCH($E234,$B$2:$B$5,0))*$G234/SUMIFS($G:$G,$E:$E,$E234,$B:$B,$B234,AK:AK,1)*IF(B234=$B$10,0.9,1),0)</f>
        <v>750</v>
      </c>
      <c r="AM234" s="24">
        <f t="shared" si="972"/>
        <v>1</v>
      </c>
      <c r="AN234" s="24">
        <f>ROUND(INDEX($C$2:$C$5,MATCH($E234,$B$2:$B$5,0))*$H234/SUMIFS($H:$H,$E:$E,$E234,$B:$B,$B234,AM:AM,1)*IF(B234=$B$10,0.9,1),0)</f>
        <v>750</v>
      </c>
      <c r="AX234" s="4" t="str">
        <f t="shared" si="830"/>
        <v>1,750</v>
      </c>
      <c r="AY234" s="4" t="str">
        <f t="shared" si="831"/>
        <v>1,900</v>
      </c>
      <c r="AZ234" s="4" t="str">
        <f t="shared" si="832"/>
        <v>1,900</v>
      </c>
      <c r="BA234" s="4" t="str">
        <f t="shared" si="833"/>
        <v>1,900</v>
      </c>
      <c r="BB234" s="4" t="str">
        <f t="shared" si="834"/>
        <v>1,750</v>
      </c>
      <c r="BC234" s="4" t="str">
        <f t="shared" si="835"/>
        <v>1,750</v>
      </c>
      <c r="BD234" s="4" t="str">
        <f t="shared" si="836"/>
        <v>1,750</v>
      </c>
      <c r="BE234" s="4" t="str">
        <f t="shared" si="837"/>
        <v>1,750</v>
      </c>
      <c r="BF234" s="4" t="str">
        <f t="shared" si="838"/>
        <v>1,750</v>
      </c>
      <c r="BG234" s="4" t="str">
        <f t="shared" si="839"/>
        <v>1,750</v>
      </c>
      <c r="BH234" s="4" t="str">
        <f t="shared" si="840"/>
        <v>1,750</v>
      </c>
      <c r="BI234" s="4" t="str">
        <f t="shared" si="841"/>
        <v>1,750</v>
      </c>
      <c r="BJ234" s="4" t="str">
        <f t="shared" si="842"/>
        <v>1,750</v>
      </c>
    </row>
    <row r="235" customHeight="1" spans="1:62">
      <c r="A235" s="62">
        <v>1412</v>
      </c>
      <c r="B235" s="54" t="s">
        <v>109</v>
      </c>
      <c r="C235" s="64"/>
      <c r="D235" s="44" t="s">
        <v>363</v>
      </c>
      <c r="E235" s="65">
        <v>2</v>
      </c>
      <c r="F235" s="35">
        <v>1</v>
      </c>
      <c r="G235" s="35">
        <f t="shared" si="843"/>
        <v>1</v>
      </c>
      <c r="H235" s="35">
        <v>1</v>
      </c>
      <c r="I235" s="35">
        <v>1</v>
      </c>
      <c r="J235" s="35">
        <v>1</v>
      </c>
      <c r="K235" s="35">
        <v>1</v>
      </c>
      <c r="L235" s="35">
        <v>1</v>
      </c>
      <c r="M235" s="35"/>
      <c r="N235">
        <f t="shared" si="844"/>
        <v>4500</v>
      </c>
      <c r="O235" s="35">
        <v>1</v>
      </c>
      <c r="P235" s="24">
        <f>ROUND(INDEX($C$2:$C$5,MATCH($E235,$B$2:$B$5,0))*$F235/SUMIFS($F:$F,$E:$E,$E235,$B:$B,$B235,O:O,1)*IF(B235=$B$10,0.9,1),0)</f>
        <v>750</v>
      </c>
      <c r="Q235" s="24">
        <f t="shared" ref="Q235:U235" si="973">IF($L235&lt;=Q$8,1,0)</f>
        <v>1</v>
      </c>
      <c r="R235" s="24">
        <f>ROUND(INDEX($C$2:$C$5,MATCH($E235,$B$2:$B$5,0))*$I235/SUMIFS($I:$I,$E:$E,$E235,$B:$B,$B235,Q:Q,1)*IF(B235=$B$10,0.9,1),0)</f>
        <v>900</v>
      </c>
      <c r="S235" s="24">
        <f t="shared" si="973"/>
        <v>1</v>
      </c>
      <c r="T235" s="24">
        <f>ROUND(INDEX($C$2:$C$5,MATCH($E235,$B$2:$B$5,0))*$J235/SUMIFS($J:$J,$E:$E,$E235,$B:$B,$B235,S:S,1)*IF(B235=$B$10,0.9,1),0)</f>
        <v>900</v>
      </c>
      <c r="U235" s="24">
        <f t="shared" si="973"/>
        <v>1</v>
      </c>
      <c r="V235" s="24">
        <f>ROUND(INDEX($C$2:$C$5,MATCH($E235,$B$2:$B$5,0))*$K235/SUMIFS($K:$K,$E:$E,$E235,$B:$B,$B235,U:U,1)*IF(B235=$B$10,0.9,1),0)</f>
        <v>900</v>
      </c>
      <c r="W235" s="24">
        <f t="shared" ref="W235:AA235" si="974">IF($L235&lt;=W$8,1,0)</f>
        <v>1</v>
      </c>
      <c r="X235" s="24">
        <f>ROUND(INDEX($C$2:$C$5,MATCH($E235,$B$2:$B$5,0))*$F235/SUMIFS($F:$F,$E:$E,$E235,$B:$B,$B235,W:W,1)*IF(B235=$B$10,0.9,1),0)</f>
        <v>750</v>
      </c>
      <c r="Y235" s="24">
        <f t="shared" si="974"/>
        <v>1</v>
      </c>
      <c r="Z235" s="24">
        <f>ROUND(INDEX($C$2:$C$5,MATCH($E235,$B$2:$B$5,0))*$G235/SUMIFS($G:$G,$E:$E,$E235,$B:$B,$B235,Y:Y,1)*IF(B235=$B$10,0.9,1),0)</f>
        <v>750</v>
      </c>
      <c r="AA235" s="24">
        <f t="shared" si="974"/>
        <v>1</v>
      </c>
      <c r="AB235" s="24">
        <f>ROUND(INDEX($C$2:$C$5,MATCH($E235,$B$2:$B$5,0))*$H235/SUMIFS($H:$H,$E:$E,$E235,$B:$B,$B235,AA:AA,1)*IF(B235=$B$10,0.9,1),0)</f>
        <v>750</v>
      </c>
      <c r="AC235" s="24">
        <f t="shared" ref="AC235:AG235" si="975">IF($L235&lt;=AC$8,1,0)</f>
        <v>1</v>
      </c>
      <c r="AD235" s="24">
        <f>ROUND(INDEX($C$2:$C$5,MATCH($E235,$B$2:$B$5,0))*$F235/SUMIFS($F:$F,$E:$E,$E235,$B:$B,$B235,AC:AC,1)*IF(B235=$B$10,0.9,1),0)</f>
        <v>750</v>
      </c>
      <c r="AE235" s="24">
        <f t="shared" si="975"/>
        <v>1</v>
      </c>
      <c r="AF235" s="24">
        <f>ROUND(INDEX($C$2:$C$5,MATCH($E235,$B$2:$B$5,0))*$G235/SUMIFS($G:$G,$E:$E,$E235,$B:$B,$B235,AE:AE,1)*IF(B235=$B$10,0.9,1),0)</f>
        <v>750</v>
      </c>
      <c r="AG235" s="24">
        <f t="shared" si="975"/>
        <v>1</v>
      </c>
      <c r="AH235" s="24">
        <f>ROUND(INDEX($C$2:$C$5,MATCH($E235,$B$2:$B$5,0))*$H235/SUMIFS($H:$H,$E:$E,$E235,$B:$B,$B235,AG:AG,1)*IF(B235=$B$10,0.9,1),0)</f>
        <v>750</v>
      </c>
      <c r="AI235" s="24">
        <f t="shared" ref="AI235:AM235" si="976">IF($L235&lt;=AI$8,1,0)</f>
        <v>1</v>
      </c>
      <c r="AJ235" s="24">
        <f>ROUND(INDEX($C$2:$C$5,MATCH($E235,$B$2:$B$5,0))*$F235/SUMIFS($F:$F,$E:$E,$E235,$B:$B,$B235,AI:AI,1)*IF(B235=$B$10,0.9,1),0)</f>
        <v>750</v>
      </c>
      <c r="AK235" s="24">
        <f t="shared" si="976"/>
        <v>1</v>
      </c>
      <c r="AL235" s="24">
        <f>ROUND(INDEX($C$2:$C$5,MATCH($E235,$B$2:$B$5,0))*$G235/SUMIFS($G:$G,$E:$E,$E235,$B:$B,$B235,AK:AK,1)*IF(B235=$B$10,0.9,1),0)</f>
        <v>750</v>
      </c>
      <c r="AM235" s="24">
        <f t="shared" si="976"/>
        <v>1</v>
      </c>
      <c r="AN235" s="24">
        <f>ROUND(INDEX($C$2:$C$5,MATCH($E235,$B$2:$B$5,0))*$H235/SUMIFS($H:$H,$E:$E,$E235,$B:$B,$B235,AM:AM,1)*IF(B235=$B$10,0.9,1),0)</f>
        <v>750</v>
      </c>
      <c r="AX235" s="4" t="str">
        <f t="shared" si="830"/>
        <v>1,750</v>
      </c>
      <c r="AY235" s="4" t="str">
        <f t="shared" si="831"/>
        <v>1,900</v>
      </c>
      <c r="AZ235" s="4" t="str">
        <f t="shared" si="832"/>
        <v>1,900</v>
      </c>
      <c r="BA235" s="4" t="str">
        <f t="shared" si="833"/>
        <v>1,900</v>
      </c>
      <c r="BB235" s="4" t="str">
        <f t="shared" si="834"/>
        <v>1,750</v>
      </c>
      <c r="BC235" s="4" t="str">
        <f t="shared" si="835"/>
        <v>1,750</v>
      </c>
      <c r="BD235" s="4" t="str">
        <f t="shared" si="836"/>
        <v>1,750</v>
      </c>
      <c r="BE235" s="4" t="str">
        <f t="shared" si="837"/>
        <v>1,750</v>
      </c>
      <c r="BF235" s="4" t="str">
        <f t="shared" si="838"/>
        <v>1,750</v>
      </c>
      <c r="BG235" s="4" t="str">
        <f t="shared" si="839"/>
        <v>1,750</v>
      </c>
      <c r="BH235" s="4" t="str">
        <f t="shared" si="840"/>
        <v>1,750</v>
      </c>
      <c r="BI235" s="4" t="str">
        <f t="shared" si="841"/>
        <v>1,750</v>
      </c>
      <c r="BJ235" s="4" t="str">
        <f t="shared" si="842"/>
        <v>1,750</v>
      </c>
    </row>
    <row r="236" customHeight="1" spans="1:62">
      <c r="A236" s="62">
        <v>1413</v>
      </c>
      <c r="B236" s="54" t="s">
        <v>109</v>
      </c>
      <c r="C236" s="64"/>
      <c r="D236" s="44" t="s">
        <v>364</v>
      </c>
      <c r="E236" s="65">
        <v>2</v>
      </c>
      <c r="F236" s="35">
        <v>1</v>
      </c>
      <c r="G236" s="35">
        <f t="shared" si="843"/>
        <v>1</v>
      </c>
      <c r="H236" s="35">
        <v>1</v>
      </c>
      <c r="I236" s="35">
        <v>1</v>
      </c>
      <c r="J236" s="35">
        <v>1</v>
      </c>
      <c r="K236" s="35">
        <v>1</v>
      </c>
      <c r="L236" s="35">
        <v>1</v>
      </c>
      <c r="M236" s="35"/>
      <c r="N236">
        <f t="shared" si="844"/>
        <v>4500</v>
      </c>
      <c r="O236" s="35">
        <v>1</v>
      </c>
      <c r="P236" s="24">
        <f>ROUND(INDEX($C$2:$C$5,MATCH($E236,$B$2:$B$5,0))*$F236/SUMIFS($F:$F,$E:$E,$E236,$B:$B,$B236,O:O,1)*IF(B236=$B$10,0.9,1),0)</f>
        <v>750</v>
      </c>
      <c r="Q236" s="24">
        <f t="shared" ref="Q236:U236" si="977">IF($L236&lt;=Q$8,1,0)</f>
        <v>1</v>
      </c>
      <c r="R236" s="24">
        <f>ROUND(INDEX($C$2:$C$5,MATCH($E236,$B$2:$B$5,0))*$I236/SUMIFS($I:$I,$E:$E,$E236,$B:$B,$B236,Q:Q,1)*IF(B236=$B$10,0.9,1),0)</f>
        <v>900</v>
      </c>
      <c r="S236" s="24">
        <f t="shared" si="977"/>
        <v>1</v>
      </c>
      <c r="T236" s="24">
        <f>ROUND(INDEX($C$2:$C$5,MATCH($E236,$B$2:$B$5,0))*$J236/SUMIFS($J:$J,$E:$E,$E236,$B:$B,$B236,S:S,1)*IF(B236=$B$10,0.9,1),0)</f>
        <v>900</v>
      </c>
      <c r="U236" s="24">
        <f t="shared" si="977"/>
        <v>1</v>
      </c>
      <c r="V236" s="24">
        <f>ROUND(INDEX($C$2:$C$5,MATCH($E236,$B$2:$B$5,0))*$K236/SUMIFS($K:$K,$E:$E,$E236,$B:$B,$B236,U:U,1)*IF(B236=$B$10,0.9,1),0)</f>
        <v>900</v>
      </c>
      <c r="W236" s="24">
        <f t="shared" ref="W236:AA236" si="978">IF($L236&lt;=W$8,1,0)</f>
        <v>1</v>
      </c>
      <c r="X236" s="24">
        <f>ROUND(INDEX($C$2:$C$5,MATCH($E236,$B$2:$B$5,0))*$F236/SUMIFS($F:$F,$E:$E,$E236,$B:$B,$B236,W:W,1)*IF(B236=$B$10,0.9,1),0)</f>
        <v>750</v>
      </c>
      <c r="Y236" s="24">
        <f t="shared" si="978"/>
        <v>1</v>
      </c>
      <c r="Z236" s="24">
        <f>ROUND(INDEX($C$2:$C$5,MATCH($E236,$B$2:$B$5,0))*$G236/SUMIFS($G:$G,$E:$E,$E236,$B:$B,$B236,Y:Y,1)*IF(B236=$B$10,0.9,1),0)</f>
        <v>750</v>
      </c>
      <c r="AA236" s="24">
        <f t="shared" si="978"/>
        <v>1</v>
      </c>
      <c r="AB236" s="24">
        <f>ROUND(INDEX($C$2:$C$5,MATCH($E236,$B$2:$B$5,0))*$H236/SUMIFS($H:$H,$E:$E,$E236,$B:$B,$B236,AA:AA,1)*IF(B236=$B$10,0.9,1),0)</f>
        <v>750</v>
      </c>
      <c r="AC236" s="24">
        <f t="shared" ref="AC236:AG236" si="979">IF($L236&lt;=AC$8,1,0)</f>
        <v>1</v>
      </c>
      <c r="AD236" s="24">
        <f>ROUND(INDEX($C$2:$C$5,MATCH($E236,$B$2:$B$5,0))*$F236/SUMIFS($F:$F,$E:$E,$E236,$B:$B,$B236,AC:AC,1)*IF(B236=$B$10,0.9,1),0)</f>
        <v>750</v>
      </c>
      <c r="AE236" s="24">
        <f t="shared" si="979"/>
        <v>1</v>
      </c>
      <c r="AF236" s="24">
        <f>ROUND(INDEX($C$2:$C$5,MATCH($E236,$B$2:$B$5,0))*$G236/SUMIFS($G:$G,$E:$E,$E236,$B:$B,$B236,AE:AE,1)*IF(B236=$B$10,0.9,1),0)</f>
        <v>750</v>
      </c>
      <c r="AG236" s="24">
        <f t="shared" si="979"/>
        <v>1</v>
      </c>
      <c r="AH236" s="24">
        <f>ROUND(INDEX($C$2:$C$5,MATCH($E236,$B$2:$B$5,0))*$H236/SUMIFS($H:$H,$E:$E,$E236,$B:$B,$B236,AG:AG,1)*IF(B236=$B$10,0.9,1),0)</f>
        <v>750</v>
      </c>
      <c r="AI236" s="24">
        <f t="shared" ref="AI236:AM236" si="980">IF($L236&lt;=AI$8,1,0)</f>
        <v>1</v>
      </c>
      <c r="AJ236" s="24">
        <f>ROUND(INDEX($C$2:$C$5,MATCH($E236,$B$2:$B$5,0))*$F236/SUMIFS($F:$F,$E:$E,$E236,$B:$B,$B236,AI:AI,1)*IF(B236=$B$10,0.9,1),0)</f>
        <v>750</v>
      </c>
      <c r="AK236" s="24">
        <f t="shared" si="980"/>
        <v>1</v>
      </c>
      <c r="AL236" s="24">
        <f>ROUND(INDEX($C$2:$C$5,MATCH($E236,$B$2:$B$5,0))*$G236/SUMIFS($G:$G,$E:$E,$E236,$B:$B,$B236,AK:AK,1)*IF(B236=$B$10,0.9,1),0)</f>
        <v>750</v>
      </c>
      <c r="AM236" s="24">
        <f t="shared" si="980"/>
        <v>1</v>
      </c>
      <c r="AN236" s="24">
        <f>ROUND(INDEX($C$2:$C$5,MATCH($E236,$B$2:$B$5,0))*$H236/SUMIFS($H:$H,$E:$E,$E236,$B:$B,$B236,AM:AM,1)*IF(B236=$B$10,0.9,1),0)</f>
        <v>750</v>
      </c>
      <c r="AX236" s="4" t="str">
        <f t="shared" si="830"/>
        <v>1,750</v>
      </c>
      <c r="AY236" s="4" t="str">
        <f t="shared" si="831"/>
        <v>1,900</v>
      </c>
      <c r="AZ236" s="4" t="str">
        <f t="shared" si="832"/>
        <v>1,900</v>
      </c>
      <c r="BA236" s="4" t="str">
        <f t="shared" si="833"/>
        <v>1,900</v>
      </c>
      <c r="BB236" s="4" t="str">
        <f t="shared" si="834"/>
        <v>1,750</v>
      </c>
      <c r="BC236" s="4" t="str">
        <f t="shared" si="835"/>
        <v>1,750</v>
      </c>
      <c r="BD236" s="4" t="str">
        <f t="shared" si="836"/>
        <v>1,750</v>
      </c>
      <c r="BE236" s="4" t="str">
        <f t="shared" si="837"/>
        <v>1,750</v>
      </c>
      <c r="BF236" s="4" t="str">
        <f t="shared" si="838"/>
        <v>1,750</v>
      </c>
      <c r="BG236" s="4" t="str">
        <f t="shared" si="839"/>
        <v>1,750</v>
      </c>
      <c r="BH236" s="4" t="str">
        <f t="shared" si="840"/>
        <v>1,750</v>
      </c>
      <c r="BI236" s="4" t="str">
        <f t="shared" si="841"/>
        <v>1,750</v>
      </c>
      <c r="BJ236" s="4" t="str">
        <f t="shared" si="842"/>
        <v>1,750</v>
      </c>
    </row>
    <row r="237" customHeight="1" spans="1:62">
      <c r="A237" s="62">
        <v>1414</v>
      </c>
      <c r="B237" s="54" t="s">
        <v>109</v>
      </c>
      <c r="C237" s="64"/>
      <c r="D237" s="44" t="s">
        <v>365</v>
      </c>
      <c r="E237" s="66">
        <v>2</v>
      </c>
      <c r="F237" s="35">
        <v>1</v>
      </c>
      <c r="G237" s="35">
        <f t="shared" si="843"/>
        <v>1</v>
      </c>
      <c r="H237" s="35">
        <v>1</v>
      </c>
      <c r="I237" s="35">
        <v>1</v>
      </c>
      <c r="J237" s="35">
        <v>1</v>
      </c>
      <c r="K237" s="35">
        <v>1</v>
      </c>
      <c r="L237" s="35">
        <v>1</v>
      </c>
      <c r="M237" s="35"/>
      <c r="N237">
        <f t="shared" si="844"/>
        <v>4500</v>
      </c>
      <c r="O237" s="35">
        <v>1</v>
      </c>
      <c r="P237" s="24">
        <f>ROUND(INDEX($C$2:$C$5,MATCH($E237,$B$2:$B$5,0))*$F237/SUMIFS($F:$F,$E:$E,$E237,$B:$B,$B237,O:O,1)*IF(B237=$B$10,0.9,1),0)</f>
        <v>750</v>
      </c>
      <c r="Q237" s="24">
        <f t="shared" ref="Q237:U237" si="981">IF($L237&lt;=Q$8,1,0)</f>
        <v>1</v>
      </c>
      <c r="R237" s="24">
        <f>ROUND(INDEX($C$2:$C$5,MATCH($E237,$B$2:$B$5,0))*$I237/SUMIFS($I:$I,$E:$E,$E237,$B:$B,$B237,Q:Q,1)*IF(B237=$B$10,0.9,1),0)</f>
        <v>900</v>
      </c>
      <c r="S237" s="24">
        <f t="shared" si="981"/>
        <v>1</v>
      </c>
      <c r="T237" s="24">
        <f>ROUND(INDEX($C$2:$C$5,MATCH($E237,$B$2:$B$5,0))*$J237/SUMIFS($J:$J,$E:$E,$E237,$B:$B,$B237,S:S,1)*IF(B237=$B$10,0.9,1),0)</f>
        <v>900</v>
      </c>
      <c r="U237" s="24">
        <f t="shared" si="981"/>
        <v>1</v>
      </c>
      <c r="V237" s="24">
        <f>ROUND(INDEX($C$2:$C$5,MATCH($E237,$B$2:$B$5,0))*$K237/SUMIFS($K:$K,$E:$E,$E237,$B:$B,$B237,U:U,1)*IF(B237=$B$10,0.9,1),0)</f>
        <v>900</v>
      </c>
      <c r="W237" s="24">
        <f t="shared" ref="W237:AA237" si="982">IF($L237&lt;=W$8,1,0)</f>
        <v>1</v>
      </c>
      <c r="X237" s="24">
        <f>ROUND(INDEX($C$2:$C$5,MATCH($E237,$B$2:$B$5,0))*$F237/SUMIFS($F:$F,$E:$E,$E237,$B:$B,$B237,W:W,1)*IF(B237=$B$10,0.9,1),0)</f>
        <v>750</v>
      </c>
      <c r="Y237" s="24">
        <f t="shared" si="982"/>
        <v>1</v>
      </c>
      <c r="Z237" s="24">
        <f>ROUND(INDEX($C$2:$C$5,MATCH($E237,$B$2:$B$5,0))*$G237/SUMIFS($G:$G,$E:$E,$E237,$B:$B,$B237,Y:Y,1)*IF(B237=$B$10,0.9,1),0)</f>
        <v>750</v>
      </c>
      <c r="AA237" s="24">
        <f t="shared" si="982"/>
        <v>1</v>
      </c>
      <c r="AB237" s="24">
        <f>ROUND(INDEX($C$2:$C$5,MATCH($E237,$B$2:$B$5,0))*$H237/SUMIFS($H:$H,$E:$E,$E237,$B:$B,$B237,AA:AA,1)*IF(B237=$B$10,0.9,1),0)</f>
        <v>750</v>
      </c>
      <c r="AC237" s="24">
        <f t="shared" ref="AC237:AG237" si="983">IF($L237&lt;=AC$8,1,0)</f>
        <v>1</v>
      </c>
      <c r="AD237" s="24">
        <f>ROUND(INDEX($C$2:$C$5,MATCH($E237,$B$2:$B$5,0))*$F237/SUMIFS($F:$F,$E:$E,$E237,$B:$B,$B237,AC:AC,1)*IF(B237=$B$10,0.9,1),0)</f>
        <v>750</v>
      </c>
      <c r="AE237" s="24">
        <f t="shared" si="983"/>
        <v>1</v>
      </c>
      <c r="AF237" s="24">
        <f>ROUND(INDEX($C$2:$C$5,MATCH($E237,$B$2:$B$5,0))*$G237/SUMIFS($G:$G,$E:$E,$E237,$B:$B,$B237,AE:AE,1)*IF(B237=$B$10,0.9,1),0)</f>
        <v>750</v>
      </c>
      <c r="AG237" s="24">
        <f t="shared" si="983"/>
        <v>1</v>
      </c>
      <c r="AH237" s="24">
        <f>ROUND(INDEX($C$2:$C$5,MATCH($E237,$B$2:$B$5,0))*$H237/SUMIFS($H:$H,$E:$E,$E237,$B:$B,$B237,AG:AG,1)*IF(B237=$B$10,0.9,1),0)</f>
        <v>750</v>
      </c>
      <c r="AI237" s="24">
        <f t="shared" ref="AI237:AM237" si="984">IF($L237&lt;=AI$8,1,0)</f>
        <v>1</v>
      </c>
      <c r="AJ237" s="24">
        <f>ROUND(INDEX($C$2:$C$5,MATCH($E237,$B$2:$B$5,0))*$F237/SUMIFS($F:$F,$E:$E,$E237,$B:$B,$B237,AI:AI,1)*IF(B237=$B$10,0.9,1),0)</f>
        <v>750</v>
      </c>
      <c r="AK237" s="24">
        <f t="shared" si="984"/>
        <v>1</v>
      </c>
      <c r="AL237" s="24">
        <f>ROUND(INDEX($C$2:$C$5,MATCH($E237,$B$2:$B$5,0))*$G237/SUMIFS($G:$G,$E:$E,$E237,$B:$B,$B237,AK:AK,1)*IF(B237=$B$10,0.9,1),0)</f>
        <v>750</v>
      </c>
      <c r="AM237" s="24">
        <f t="shared" si="984"/>
        <v>1</v>
      </c>
      <c r="AN237" s="24">
        <f>ROUND(INDEX($C$2:$C$5,MATCH($E237,$B$2:$B$5,0))*$H237/SUMIFS($H:$H,$E:$E,$E237,$B:$B,$B237,AM:AM,1)*IF(B237=$B$10,0.9,1),0)</f>
        <v>750</v>
      </c>
      <c r="AX237" s="4" t="str">
        <f t="shared" si="830"/>
        <v>1,750</v>
      </c>
      <c r="AY237" s="4" t="str">
        <f t="shared" si="831"/>
        <v>1,900</v>
      </c>
      <c r="AZ237" s="4" t="str">
        <f t="shared" si="832"/>
        <v>1,900</v>
      </c>
      <c r="BA237" s="4" t="str">
        <f t="shared" si="833"/>
        <v>1,900</v>
      </c>
      <c r="BB237" s="4" t="str">
        <f t="shared" si="834"/>
        <v>1,750</v>
      </c>
      <c r="BC237" s="4" t="str">
        <f t="shared" si="835"/>
        <v>1,750</v>
      </c>
      <c r="BD237" s="4" t="str">
        <f t="shared" si="836"/>
        <v>1,750</v>
      </c>
      <c r="BE237" s="4" t="str">
        <f t="shared" si="837"/>
        <v>1,750</v>
      </c>
      <c r="BF237" s="4" t="str">
        <f t="shared" si="838"/>
        <v>1,750</v>
      </c>
      <c r="BG237" s="4" t="str">
        <f t="shared" si="839"/>
        <v>1,750</v>
      </c>
      <c r="BH237" s="4" t="str">
        <f t="shared" si="840"/>
        <v>1,750</v>
      </c>
      <c r="BI237" s="4" t="str">
        <f t="shared" si="841"/>
        <v>1,750</v>
      </c>
      <c r="BJ237" s="4" t="str">
        <f t="shared" si="842"/>
        <v>1,750</v>
      </c>
    </row>
    <row r="238" customHeight="1" spans="1:62">
      <c r="A238" s="62">
        <v>1421</v>
      </c>
      <c r="B238" s="54" t="s">
        <v>109</v>
      </c>
      <c r="C238" s="64"/>
      <c r="D238" s="46" t="s">
        <v>366</v>
      </c>
      <c r="E238" s="66">
        <v>3</v>
      </c>
      <c r="F238" s="35">
        <v>1</v>
      </c>
      <c r="G238" s="35">
        <f t="shared" si="843"/>
        <v>1</v>
      </c>
      <c r="H238" s="35">
        <v>1</v>
      </c>
      <c r="I238" s="35">
        <v>1</v>
      </c>
      <c r="J238" s="35">
        <v>1</v>
      </c>
      <c r="K238" s="35">
        <v>1</v>
      </c>
      <c r="L238" s="35">
        <v>1</v>
      </c>
      <c r="M238" s="35"/>
      <c r="N238">
        <f t="shared" si="844"/>
        <v>1500</v>
      </c>
      <c r="O238" s="35">
        <v>1</v>
      </c>
      <c r="P238" s="24">
        <f>ROUND(INDEX($C$2:$C$5,MATCH($E238,$B$2:$B$5,0))*$F238/SUMIFS($F:$F,$E:$E,$E238,$B:$B,$B238,O:O,1)*IF(B238=$B$10,0.9,1),0)</f>
        <v>250</v>
      </c>
      <c r="Q238" s="24">
        <f t="shared" ref="Q238:U238" si="985">IF($L238&lt;=Q$8,1,0)</f>
        <v>1</v>
      </c>
      <c r="R238" s="24">
        <f>ROUND(INDEX($C$2:$C$5,MATCH($E238,$B$2:$B$5,0))*$I238/SUMIFS($I:$I,$E:$E,$E238,$B:$B,$B238,Q:Q,1)*IF(B238=$B$10,0.9,1),0)</f>
        <v>300</v>
      </c>
      <c r="S238" s="24">
        <f t="shared" si="985"/>
        <v>1</v>
      </c>
      <c r="T238" s="24">
        <f>ROUND(INDEX($C$2:$C$5,MATCH($E238,$B$2:$B$5,0))*$J238/SUMIFS($J:$J,$E:$E,$E238,$B:$B,$B238,S:S,1)*IF(B238=$B$10,0.9,1),0)</f>
        <v>300</v>
      </c>
      <c r="U238" s="24">
        <f t="shared" si="985"/>
        <v>1</v>
      </c>
      <c r="V238" s="24">
        <f>ROUND(INDEX($C$2:$C$5,MATCH($E238,$B$2:$B$5,0))*$K238/SUMIFS($K:$K,$E:$E,$E238,$B:$B,$B238,U:U,1)*IF(B238=$B$10,0.9,1),0)</f>
        <v>300</v>
      </c>
      <c r="W238" s="24">
        <f t="shared" ref="W238:AA238" si="986">IF($L238&lt;=W$8,1,0)</f>
        <v>1</v>
      </c>
      <c r="X238" s="24">
        <f>ROUND(INDEX($C$2:$C$5,MATCH($E238,$B$2:$B$5,0))*$F238/SUMIFS($F:$F,$E:$E,$E238,$B:$B,$B238,W:W,1)*IF(B238=$B$10,0.9,1),0)</f>
        <v>250</v>
      </c>
      <c r="Y238" s="24">
        <f t="shared" si="986"/>
        <v>1</v>
      </c>
      <c r="Z238" s="24">
        <f>ROUND(INDEX($C$2:$C$5,MATCH($E238,$B$2:$B$5,0))*$G238/SUMIFS($G:$G,$E:$E,$E238,$B:$B,$B238,Y:Y,1)*IF(B238=$B$10,0.9,1),0)</f>
        <v>250</v>
      </c>
      <c r="AA238" s="24">
        <f t="shared" si="986"/>
        <v>1</v>
      </c>
      <c r="AB238" s="24">
        <f>ROUND(INDEX($C$2:$C$5,MATCH($E238,$B$2:$B$5,0))*$H238/SUMIFS($H:$H,$E:$E,$E238,$B:$B,$B238,AA:AA,1)*IF(B238=$B$10,0.9,1),0)</f>
        <v>250</v>
      </c>
      <c r="AC238" s="24">
        <f t="shared" ref="AC238:AG238" si="987">IF($L238&lt;=AC$8,1,0)</f>
        <v>1</v>
      </c>
      <c r="AD238" s="24">
        <f>ROUND(INDEX($C$2:$C$5,MATCH($E238,$B$2:$B$5,0))*$F238/SUMIFS($F:$F,$E:$E,$E238,$B:$B,$B238,AC:AC,1)*IF(B238=$B$10,0.9,1),0)</f>
        <v>250</v>
      </c>
      <c r="AE238" s="24">
        <f t="shared" si="987"/>
        <v>1</v>
      </c>
      <c r="AF238" s="24">
        <f>ROUND(INDEX($C$2:$C$5,MATCH($E238,$B$2:$B$5,0))*$G238/SUMIFS($G:$G,$E:$E,$E238,$B:$B,$B238,AE:AE,1)*IF(B238=$B$10,0.9,1),0)</f>
        <v>250</v>
      </c>
      <c r="AG238" s="24">
        <f t="shared" si="987"/>
        <v>1</v>
      </c>
      <c r="AH238" s="24">
        <f>ROUND(INDEX($C$2:$C$5,MATCH($E238,$B$2:$B$5,0))*$H238/SUMIFS($H:$H,$E:$E,$E238,$B:$B,$B238,AG:AG,1)*IF(B238=$B$10,0.9,1),0)</f>
        <v>250</v>
      </c>
      <c r="AI238" s="24">
        <f t="shared" ref="AI238:AM238" si="988">IF($L238&lt;=AI$8,1,0)</f>
        <v>1</v>
      </c>
      <c r="AJ238" s="24">
        <f>ROUND(INDEX($C$2:$C$5,MATCH($E238,$B$2:$B$5,0))*$F238/SUMIFS($F:$F,$E:$E,$E238,$B:$B,$B238,AI:AI,1)*IF(B238=$B$10,0.9,1),0)</f>
        <v>250</v>
      </c>
      <c r="AK238" s="24">
        <f t="shared" si="988"/>
        <v>1</v>
      </c>
      <c r="AL238" s="24">
        <f>ROUND(INDEX($C$2:$C$5,MATCH($E238,$B$2:$B$5,0))*$G238/SUMIFS($G:$G,$E:$E,$E238,$B:$B,$B238,AK:AK,1)*IF(B238=$B$10,0.9,1),0)</f>
        <v>250</v>
      </c>
      <c r="AM238" s="24">
        <f t="shared" si="988"/>
        <v>1</v>
      </c>
      <c r="AN238" s="24">
        <f>ROUND(INDEX($C$2:$C$5,MATCH($E238,$B$2:$B$5,0))*$H238/SUMIFS($H:$H,$E:$E,$E238,$B:$B,$B238,AM:AM,1)*IF(B238=$B$10,0.9,1),0)</f>
        <v>250</v>
      </c>
      <c r="AX238" s="4" t="str">
        <f t="shared" si="830"/>
        <v>1,250</v>
      </c>
      <c r="AY238" s="4" t="str">
        <f t="shared" si="831"/>
        <v>1,300</v>
      </c>
      <c r="AZ238" s="4" t="str">
        <f t="shared" si="832"/>
        <v>1,300</v>
      </c>
      <c r="BA238" s="4" t="str">
        <f t="shared" si="833"/>
        <v>1,300</v>
      </c>
      <c r="BB238" s="4" t="str">
        <f t="shared" si="834"/>
        <v>1,250</v>
      </c>
      <c r="BC238" s="4" t="str">
        <f t="shared" si="835"/>
        <v>1,250</v>
      </c>
      <c r="BD238" s="4" t="str">
        <f t="shared" si="836"/>
        <v>1,250</v>
      </c>
      <c r="BE238" s="4" t="str">
        <f t="shared" si="837"/>
        <v>1,250</v>
      </c>
      <c r="BF238" s="4" t="str">
        <f t="shared" si="838"/>
        <v>1,250</v>
      </c>
      <c r="BG238" s="4" t="str">
        <f t="shared" si="839"/>
        <v>1,250</v>
      </c>
      <c r="BH238" s="4" t="str">
        <f t="shared" si="840"/>
        <v>1,250</v>
      </c>
      <c r="BI238" s="4" t="str">
        <f t="shared" si="841"/>
        <v>1,250</v>
      </c>
      <c r="BJ238" s="4" t="str">
        <f t="shared" si="842"/>
        <v>1,250</v>
      </c>
    </row>
    <row r="239" customHeight="1" spans="1:62">
      <c r="A239" s="62">
        <v>1422</v>
      </c>
      <c r="B239" s="54" t="s">
        <v>109</v>
      </c>
      <c r="C239" s="64"/>
      <c r="D239" s="46" t="s">
        <v>367</v>
      </c>
      <c r="E239" s="66">
        <v>3</v>
      </c>
      <c r="F239" s="35">
        <v>1</v>
      </c>
      <c r="G239" s="35">
        <f t="shared" si="843"/>
        <v>1</v>
      </c>
      <c r="H239" s="35">
        <v>1</v>
      </c>
      <c r="I239" s="35">
        <v>1</v>
      </c>
      <c r="J239" s="35">
        <v>1</v>
      </c>
      <c r="K239" s="35">
        <v>1</v>
      </c>
      <c r="L239" s="35">
        <v>1</v>
      </c>
      <c r="M239" s="35"/>
      <c r="N239">
        <f t="shared" si="844"/>
        <v>1500</v>
      </c>
      <c r="O239" s="35">
        <v>1</v>
      </c>
      <c r="P239" s="24">
        <f>ROUND(INDEX($C$2:$C$5,MATCH($E239,$B$2:$B$5,0))*$F239/SUMIFS($F:$F,$E:$E,$E239,$B:$B,$B239,O:O,1)*IF(B239=$B$10,0.9,1),0)</f>
        <v>250</v>
      </c>
      <c r="Q239" s="24">
        <f t="shared" ref="Q239:U239" si="989">IF($L239&lt;=Q$8,1,0)</f>
        <v>1</v>
      </c>
      <c r="R239" s="24">
        <f>ROUND(INDEX($C$2:$C$5,MATCH($E239,$B$2:$B$5,0))*$I239/SUMIFS($I:$I,$E:$E,$E239,$B:$B,$B239,Q:Q,1)*IF(B239=$B$10,0.9,1),0)</f>
        <v>300</v>
      </c>
      <c r="S239" s="24">
        <f t="shared" si="989"/>
        <v>1</v>
      </c>
      <c r="T239" s="24">
        <f>ROUND(INDEX($C$2:$C$5,MATCH($E239,$B$2:$B$5,0))*$J239/SUMIFS($J:$J,$E:$E,$E239,$B:$B,$B239,S:S,1)*IF(B239=$B$10,0.9,1),0)</f>
        <v>300</v>
      </c>
      <c r="U239" s="24">
        <f t="shared" si="989"/>
        <v>1</v>
      </c>
      <c r="V239" s="24">
        <f>ROUND(INDEX($C$2:$C$5,MATCH($E239,$B$2:$B$5,0))*$K239/SUMIFS($K:$K,$E:$E,$E239,$B:$B,$B239,U:U,1)*IF(B239=$B$10,0.9,1),0)</f>
        <v>300</v>
      </c>
      <c r="W239" s="24">
        <f t="shared" ref="W239:AA239" si="990">IF($L239&lt;=W$8,1,0)</f>
        <v>1</v>
      </c>
      <c r="X239" s="24">
        <f>ROUND(INDEX($C$2:$C$5,MATCH($E239,$B$2:$B$5,0))*$F239/SUMIFS($F:$F,$E:$E,$E239,$B:$B,$B239,W:W,1)*IF(B239=$B$10,0.9,1),0)</f>
        <v>250</v>
      </c>
      <c r="Y239" s="24">
        <f t="shared" si="990"/>
        <v>1</v>
      </c>
      <c r="Z239" s="24">
        <f>ROUND(INDEX($C$2:$C$5,MATCH($E239,$B$2:$B$5,0))*$G239/SUMIFS($G:$G,$E:$E,$E239,$B:$B,$B239,Y:Y,1)*IF(B239=$B$10,0.9,1),0)</f>
        <v>250</v>
      </c>
      <c r="AA239" s="24">
        <f t="shared" si="990"/>
        <v>1</v>
      </c>
      <c r="AB239" s="24">
        <f>ROUND(INDEX($C$2:$C$5,MATCH($E239,$B$2:$B$5,0))*$H239/SUMIFS($H:$H,$E:$E,$E239,$B:$B,$B239,AA:AA,1)*IF(B239=$B$10,0.9,1),0)</f>
        <v>250</v>
      </c>
      <c r="AC239" s="24">
        <f t="shared" ref="AC239:AG239" si="991">IF($L239&lt;=AC$8,1,0)</f>
        <v>1</v>
      </c>
      <c r="AD239" s="24">
        <f>ROUND(INDEX($C$2:$C$5,MATCH($E239,$B$2:$B$5,0))*$F239/SUMIFS($F:$F,$E:$E,$E239,$B:$B,$B239,AC:AC,1)*IF(B239=$B$10,0.9,1),0)</f>
        <v>250</v>
      </c>
      <c r="AE239" s="24">
        <f t="shared" si="991"/>
        <v>1</v>
      </c>
      <c r="AF239" s="24">
        <f>ROUND(INDEX($C$2:$C$5,MATCH($E239,$B$2:$B$5,0))*$G239/SUMIFS($G:$G,$E:$E,$E239,$B:$B,$B239,AE:AE,1)*IF(B239=$B$10,0.9,1),0)</f>
        <v>250</v>
      </c>
      <c r="AG239" s="24">
        <f t="shared" si="991"/>
        <v>1</v>
      </c>
      <c r="AH239" s="24">
        <f>ROUND(INDEX($C$2:$C$5,MATCH($E239,$B$2:$B$5,0))*$H239/SUMIFS($H:$H,$E:$E,$E239,$B:$B,$B239,AG:AG,1)*IF(B239=$B$10,0.9,1),0)</f>
        <v>250</v>
      </c>
      <c r="AI239" s="24">
        <f t="shared" ref="AI239:AM239" si="992">IF($L239&lt;=AI$8,1,0)</f>
        <v>1</v>
      </c>
      <c r="AJ239" s="24">
        <f>ROUND(INDEX($C$2:$C$5,MATCH($E239,$B$2:$B$5,0))*$F239/SUMIFS($F:$F,$E:$E,$E239,$B:$B,$B239,AI:AI,1)*IF(B239=$B$10,0.9,1),0)</f>
        <v>250</v>
      </c>
      <c r="AK239" s="24">
        <f t="shared" si="992"/>
        <v>1</v>
      </c>
      <c r="AL239" s="24">
        <f>ROUND(INDEX($C$2:$C$5,MATCH($E239,$B$2:$B$5,0))*$G239/SUMIFS($G:$G,$E:$E,$E239,$B:$B,$B239,AK:AK,1)*IF(B239=$B$10,0.9,1),0)</f>
        <v>250</v>
      </c>
      <c r="AM239" s="24">
        <f t="shared" si="992"/>
        <v>1</v>
      </c>
      <c r="AN239" s="24">
        <f>ROUND(INDEX($C$2:$C$5,MATCH($E239,$B$2:$B$5,0))*$H239/SUMIFS($H:$H,$E:$E,$E239,$B:$B,$B239,AM:AM,1)*IF(B239=$B$10,0.9,1),0)</f>
        <v>250</v>
      </c>
      <c r="AX239" s="4" t="str">
        <f t="shared" si="830"/>
        <v>1,250</v>
      </c>
      <c r="AY239" s="4" t="str">
        <f t="shared" si="831"/>
        <v>1,300</v>
      </c>
      <c r="AZ239" s="4" t="str">
        <f t="shared" si="832"/>
        <v>1,300</v>
      </c>
      <c r="BA239" s="4" t="str">
        <f t="shared" si="833"/>
        <v>1,300</v>
      </c>
      <c r="BB239" s="4" t="str">
        <f t="shared" si="834"/>
        <v>1,250</v>
      </c>
      <c r="BC239" s="4" t="str">
        <f t="shared" si="835"/>
        <v>1,250</v>
      </c>
      <c r="BD239" s="4" t="str">
        <f t="shared" si="836"/>
        <v>1,250</v>
      </c>
      <c r="BE239" s="4" t="str">
        <f t="shared" si="837"/>
        <v>1,250</v>
      </c>
      <c r="BF239" s="4" t="str">
        <f t="shared" si="838"/>
        <v>1,250</v>
      </c>
      <c r="BG239" s="4" t="str">
        <f t="shared" si="839"/>
        <v>1,250</v>
      </c>
      <c r="BH239" s="4" t="str">
        <f t="shared" si="840"/>
        <v>1,250</v>
      </c>
      <c r="BI239" s="4" t="str">
        <f t="shared" si="841"/>
        <v>1,250</v>
      </c>
      <c r="BJ239" s="4" t="str">
        <f t="shared" si="842"/>
        <v>1,250</v>
      </c>
    </row>
    <row r="240" customHeight="1" spans="1:62">
      <c r="A240" s="62">
        <v>1423</v>
      </c>
      <c r="B240" s="54" t="s">
        <v>109</v>
      </c>
      <c r="C240" s="64" t="s">
        <v>218</v>
      </c>
      <c r="D240" s="46" t="s">
        <v>368</v>
      </c>
      <c r="E240" s="66">
        <v>3</v>
      </c>
      <c r="F240" s="35">
        <v>1</v>
      </c>
      <c r="G240" s="35">
        <f t="shared" si="843"/>
        <v>1</v>
      </c>
      <c r="H240" s="35">
        <v>1</v>
      </c>
      <c r="I240" s="35">
        <v>1</v>
      </c>
      <c r="J240" s="35">
        <v>1</v>
      </c>
      <c r="K240" s="35">
        <v>1</v>
      </c>
      <c r="L240" s="35">
        <v>1</v>
      </c>
      <c r="M240" s="35" t="s">
        <v>136</v>
      </c>
      <c r="N240">
        <f t="shared" si="844"/>
        <v>1500</v>
      </c>
      <c r="O240" s="35">
        <v>1</v>
      </c>
      <c r="P240" s="24">
        <f>ROUND(INDEX($C$2:$C$5,MATCH($E240,$B$2:$B$5,0))*$F240/SUMIFS($F:$F,$E:$E,$E240,$B:$B,$B240,O:O,1)*IF(B240=$B$10,0.9,1),0)</f>
        <v>250</v>
      </c>
      <c r="Q240" s="24">
        <f t="shared" ref="Q240:U240" si="993">IF($L240&lt;=Q$8,1,0)</f>
        <v>1</v>
      </c>
      <c r="R240" s="24">
        <f>ROUND(INDEX($C$2:$C$5,MATCH($E240,$B$2:$B$5,0))*$I240/SUMIFS($I:$I,$E:$E,$E240,$B:$B,$B240,Q:Q,1)*IF(B240=$B$10,0.9,1),0)</f>
        <v>300</v>
      </c>
      <c r="S240" s="24">
        <f t="shared" si="993"/>
        <v>1</v>
      </c>
      <c r="T240" s="24">
        <f>ROUND(INDEX($C$2:$C$5,MATCH($E240,$B$2:$B$5,0))*$J240/SUMIFS($J:$J,$E:$E,$E240,$B:$B,$B240,S:S,1)*IF(B240=$B$10,0.9,1),0)</f>
        <v>300</v>
      </c>
      <c r="U240" s="24">
        <f t="shared" si="993"/>
        <v>1</v>
      </c>
      <c r="V240" s="24">
        <f>ROUND(INDEX($C$2:$C$5,MATCH($E240,$B$2:$B$5,0))*$K240/SUMIFS($K:$K,$E:$E,$E240,$B:$B,$B240,U:U,1)*IF(B240=$B$10,0.9,1),0)</f>
        <v>300</v>
      </c>
      <c r="W240" s="24">
        <f t="shared" ref="W240:AA240" si="994">IF($L240&lt;=W$8,1,0)</f>
        <v>1</v>
      </c>
      <c r="X240" s="24">
        <f>ROUND(INDEX($C$2:$C$5,MATCH($E240,$B$2:$B$5,0))*$F240/SUMIFS($F:$F,$E:$E,$E240,$B:$B,$B240,W:W,1)*IF(B240=$B$10,0.9,1),0)</f>
        <v>250</v>
      </c>
      <c r="Y240" s="24">
        <f t="shared" si="994"/>
        <v>1</v>
      </c>
      <c r="Z240" s="24">
        <f>ROUND(INDEX($C$2:$C$5,MATCH($E240,$B$2:$B$5,0))*$G240/SUMIFS($G:$G,$E:$E,$E240,$B:$B,$B240,Y:Y,1)*IF(B240=$B$10,0.9,1),0)</f>
        <v>250</v>
      </c>
      <c r="AA240" s="24">
        <f t="shared" si="994"/>
        <v>1</v>
      </c>
      <c r="AB240" s="24">
        <f>ROUND(INDEX($C$2:$C$5,MATCH($E240,$B$2:$B$5,0))*$H240/SUMIFS($H:$H,$E:$E,$E240,$B:$B,$B240,AA:AA,1)*IF(B240=$B$10,0.9,1),0)</f>
        <v>250</v>
      </c>
      <c r="AC240" s="24">
        <f t="shared" ref="AC240:AG240" si="995">IF($L240&lt;=AC$8,1,0)</f>
        <v>1</v>
      </c>
      <c r="AD240" s="24">
        <f>ROUND(INDEX($C$2:$C$5,MATCH($E240,$B$2:$B$5,0))*$F240/SUMIFS($F:$F,$E:$E,$E240,$B:$B,$B240,AC:AC,1)*IF(B240=$B$10,0.9,1),0)</f>
        <v>250</v>
      </c>
      <c r="AE240" s="24">
        <f t="shared" si="995"/>
        <v>1</v>
      </c>
      <c r="AF240" s="24">
        <f>ROUND(INDEX($C$2:$C$5,MATCH($E240,$B$2:$B$5,0))*$G240/SUMIFS($G:$G,$E:$E,$E240,$B:$B,$B240,AE:AE,1)*IF(B240=$B$10,0.9,1),0)</f>
        <v>250</v>
      </c>
      <c r="AG240" s="24">
        <f t="shared" si="995"/>
        <v>1</v>
      </c>
      <c r="AH240" s="24">
        <f>ROUND(INDEX($C$2:$C$5,MATCH($E240,$B$2:$B$5,0))*$H240/SUMIFS($H:$H,$E:$E,$E240,$B:$B,$B240,AG:AG,1)*IF(B240=$B$10,0.9,1),0)</f>
        <v>250</v>
      </c>
      <c r="AI240" s="24">
        <f t="shared" ref="AI240:AM240" si="996">IF($L240&lt;=AI$8,1,0)</f>
        <v>1</v>
      </c>
      <c r="AJ240" s="24">
        <f>ROUND(INDEX($C$2:$C$5,MATCH($E240,$B$2:$B$5,0))*$F240/SUMIFS($F:$F,$E:$E,$E240,$B:$B,$B240,AI:AI,1)*IF(B240=$B$10,0.9,1),0)</f>
        <v>250</v>
      </c>
      <c r="AK240" s="24">
        <f t="shared" si="996"/>
        <v>1</v>
      </c>
      <c r="AL240" s="24">
        <f>ROUND(INDEX($C$2:$C$5,MATCH($E240,$B$2:$B$5,0))*$G240/SUMIFS($G:$G,$E:$E,$E240,$B:$B,$B240,AK:AK,1)*IF(B240=$B$10,0.9,1),0)</f>
        <v>250</v>
      </c>
      <c r="AM240" s="24">
        <f t="shared" si="996"/>
        <v>1</v>
      </c>
      <c r="AN240" s="24">
        <f>ROUND(INDEX($C$2:$C$5,MATCH($E240,$B$2:$B$5,0))*$H240/SUMIFS($H:$H,$E:$E,$E240,$B:$B,$B240,AM:AM,1)*IF(B240=$B$10,0.9,1),0)</f>
        <v>250</v>
      </c>
      <c r="AX240" s="4" t="str">
        <f t="shared" si="830"/>
        <v>1,250</v>
      </c>
      <c r="AY240" s="4" t="str">
        <f t="shared" si="831"/>
        <v>1,300</v>
      </c>
      <c r="AZ240" s="4" t="str">
        <f t="shared" si="832"/>
        <v>1,300</v>
      </c>
      <c r="BA240" s="4" t="str">
        <f t="shared" si="833"/>
        <v>1,300</v>
      </c>
      <c r="BB240" s="4" t="str">
        <f t="shared" si="834"/>
        <v>1,250</v>
      </c>
      <c r="BC240" s="4" t="str">
        <f t="shared" si="835"/>
        <v>1,250</v>
      </c>
      <c r="BD240" s="4" t="str">
        <f t="shared" si="836"/>
        <v>1,250</v>
      </c>
      <c r="BE240" s="4" t="str">
        <f t="shared" si="837"/>
        <v>1,250</v>
      </c>
      <c r="BF240" s="4" t="str">
        <f t="shared" si="838"/>
        <v>1,250</v>
      </c>
      <c r="BG240" s="4" t="str">
        <f t="shared" si="839"/>
        <v>1,250</v>
      </c>
      <c r="BH240" s="4" t="str">
        <f t="shared" si="840"/>
        <v>1,250</v>
      </c>
      <c r="BI240" s="4" t="str">
        <f t="shared" si="841"/>
        <v>1,250</v>
      </c>
      <c r="BJ240" s="4" t="str">
        <f t="shared" si="842"/>
        <v>1,250</v>
      </c>
    </row>
    <row r="241" customHeight="1" spans="1:62">
      <c r="A241" s="62">
        <v>1424</v>
      </c>
      <c r="B241" s="54" t="s">
        <v>109</v>
      </c>
      <c r="C241" s="64" t="s">
        <v>218</v>
      </c>
      <c r="D241" s="46" t="s">
        <v>369</v>
      </c>
      <c r="E241" s="66">
        <v>3</v>
      </c>
      <c r="F241" s="35">
        <v>1</v>
      </c>
      <c r="G241" s="35">
        <f t="shared" si="843"/>
        <v>1</v>
      </c>
      <c r="H241" s="35">
        <v>1</v>
      </c>
      <c r="I241" s="35">
        <v>1</v>
      </c>
      <c r="J241" s="35">
        <v>1</v>
      </c>
      <c r="K241" s="35">
        <v>1</v>
      </c>
      <c r="L241" s="35">
        <v>1</v>
      </c>
      <c r="M241" s="35"/>
      <c r="N241">
        <f t="shared" si="844"/>
        <v>1500</v>
      </c>
      <c r="O241" s="35">
        <v>1</v>
      </c>
      <c r="P241" s="24">
        <f>ROUND(INDEX($C$2:$C$5,MATCH($E241,$B$2:$B$5,0))*$F241/SUMIFS($F:$F,$E:$E,$E241,$B:$B,$B241,O:O,1)*IF(B241=$B$10,0.9,1),0)</f>
        <v>250</v>
      </c>
      <c r="Q241" s="24">
        <f t="shared" ref="Q241:U241" si="997">IF($L241&lt;=Q$8,1,0)</f>
        <v>1</v>
      </c>
      <c r="R241" s="24">
        <f>ROUND(INDEX($C$2:$C$5,MATCH($E241,$B$2:$B$5,0))*$I241/SUMIFS($I:$I,$E:$E,$E241,$B:$B,$B241,Q:Q,1)*IF(B241=$B$10,0.9,1),0)</f>
        <v>300</v>
      </c>
      <c r="S241" s="24">
        <f t="shared" si="997"/>
        <v>1</v>
      </c>
      <c r="T241" s="24">
        <f>ROUND(INDEX($C$2:$C$5,MATCH($E241,$B$2:$B$5,0))*$J241/SUMIFS($J:$J,$E:$E,$E241,$B:$B,$B241,S:S,1)*IF(B241=$B$10,0.9,1),0)</f>
        <v>300</v>
      </c>
      <c r="U241" s="24">
        <f t="shared" si="997"/>
        <v>1</v>
      </c>
      <c r="V241" s="24">
        <f>ROUND(INDEX($C$2:$C$5,MATCH($E241,$B$2:$B$5,0))*$K241/SUMIFS($K:$K,$E:$E,$E241,$B:$B,$B241,U:U,1)*IF(B241=$B$10,0.9,1),0)</f>
        <v>300</v>
      </c>
      <c r="W241" s="24">
        <f t="shared" ref="W241:AA241" si="998">IF($L241&lt;=W$8,1,0)</f>
        <v>1</v>
      </c>
      <c r="X241" s="24">
        <f>ROUND(INDEX($C$2:$C$5,MATCH($E241,$B$2:$B$5,0))*$F241/SUMIFS($F:$F,$E:$E,$E241,$B:$B,$B241,W:W,1)*IF(B241=$B$10,0.9,1),0)</f>
        <v>250</v>
      </c>
      <c r="Y241" s="24">
        <f t="shared" si="998"/>
        <v>1</v>
      </c>
      <c r="Z241" s="24">
        <f>ROUND(INDEX($C$2:$C$5,MATCH($E241,$B$2:$B$5,0))*$G241/SUMIFS($G:$G,$E:$E,$E241,$B:$B,$B241,Y:Y,1)*IF(B241=$B$10,0.9,1),0)</f>
        <v>250</v>
      </c>
      <c r="AA241" s="24">
        <f t="shared" si="998"/>
        <v>1</v>
      </c>
      <c r="AB241" s="24">
        <f>ROUND(INDEX($C$2:$C$5,MATCH($E241,$B$2:$B$5,0))*$H241/SUMIFS($H:$H,$E:$E,$E241,$B:$B,$B241,AA:AA,1)*IF(B241=$B$10,0.9,1),0)</f>
        <v>250</v>
      </c>
      <c r="AC241" s="24">
        <f t="shared" ref="AC241:AG241" si="999">IF($L241&lt;=AC$8,1,0)</f>
        <v>1</v>
      </c>
      <c r="AD241" s="24">
        <f>ROUND(INDEX($C$2:$C$5,MATCH($E241,$B$2:$B$5,0))*$F241/SUMIFS($F:$F,$E:$E,$E241,$B:$B,$B241,AC:AC,1)*IF(B241=$B$10,0.9,1),0)</f>
        <v>250</v>
      </c>
      <c r="AE241" s="24">
        <f t="shared" si="999"/>
        <v>1</v>
      </c>
      <c r="AF241" s="24">
        <f>ROUND(INDEX($C$2:$C$5,MATCH($E241,$B$2:$B$5,0))*$G241/SUMIFS($G:$G,$E:$E,$E241,$B:$B,$B241,AE:AE,1)*IF(B241=$B$10,0.9,1),0)</f>
        <v>250</v>
      </c>
      <c r="AG241" s="24">
        <f t="shared" si="999"/>
        <v>1</v>
      </c>
      <c r="AH241" s="24">
        <f>ROUND(INDEX($C$2:$C$5,MATCH($E241,$B$2:$B$5,0))*$H241/SUMIFS($H:$H,$E:$E,$E241,$B:$B,$B241,AG:AG,1)*IF(B241=$B$10,0.9,1),0)</f>
        <v>250</v>
      </c>
      <c r="AI241" s="24">
        <f t="shared" ref="AI241:AM241" si="1000">IF($L241&lt;=AI$8,1,0)</f>
        <v>1</v>
      </c>
      <c r="AJ241" s="24">
        <f>ROUND(INDEX($C$2:$C$5,MATCH($E241,$B$2:$B$5,0))*$F241/SUMIFS($F:$F,$E:$E,$E241,$B:$B,$B241,AI:AI,1)*IF(B241=$B$10,0.9,1),0)</f>
        <v>250</v>
      </c>
      <c r="AK241" s="24">
        <f t="shared" si="1000"/>
        <v>1</v>
      </c>
      <c r="AL241" s="24">
        <f>ROUND(INDEX($C$2:$C$5,MATCH($E241,$B$2:$B$5,0))*$G241/SUMIFS($G:$G,$E:$E,$E241,$B:$B,$B241,AK:AK,1)*IF(B241=$B$10,0.9,1),0)</f>
        <v>250</v>
      </c>
      <c r="AM241" s="24">
        <f t="shared" si="1000"/>
        <v>1</v>
      </c>
      <c r="AN241" s="24">
        <f>ROUND(INDEX($C$2:$C$5,MATCH($E241,$B$2:$B$5,0))*$H241/SUMIFS($H:$H,$E:$E,$E241,$B:$B,$B241,AM:AM,1)*IF(B241=$B$10,0.9,1),0)</f>
        <v>250</v>
      </c>
      <c r="AX241" s="4" t="str">
        <f t="shared" si="830"/>
        <v>1,250</v>
      </c>
      <c r="AY241" s="4" t="str">
        <f t="shared" si="831"/>
        <v>1,300</v>
      </c>
      <c r="AZ241" s="4" t="str">
        <f t="shared" si="832"/>
        <v>1,300</v>
      </c>
      <c r="BA241" s="4" t="str">
        <f t="shared" si="833"/>
        <v>1,300</v>
      </c>
      <c r="BB241" s="4" t="str">
        <f t="shared" si="834"/>
        <v>1,250</v>
      </c>
      <c r="BC241" s="4" t="str">
        <f t="shared" si="835"/>
        <v>1,250</v>
      </c>
      <c r="BD241" s="4" t="str">
        <f t="shared" si="836"/>
        <v>1,250</v>
      </c>
      <c r="BE241" s="4" t="str">
        <f t="shared" si="837"/>
        <v>1,250</v>
      </c>
      <c r="BF241" s="4" t="str">
        <f t="shared" si="838"/>
        <v>1,250</v>
      </c>
      <c r="BG241" s="4" t="str">
        <f t="shared" si="839"/>
        <v>1,250</v>
      </c>
      <c r="BH241" s="4" t="str">
        <f t="shared" si="840"/>
        <v>1,250</v>
      </c>
      <c r="BI241" s="4" t="str">
        <f t="shared" si="841"/>
        <v>1,250</v>
      </c>
      <c r="BJ241" s="4" t="str">
        <f t="shared" si="842"/>
        <v>1,250</v>
      </c>
    </row>
    <row r="242" customHeight="1" spans="1:62">
      <c r="A242" s="62">
        <v>1431</v>
      </c>
      <c r="B242" s="54" t="s">
        <v>109</v>
      </c>
      <c r="C242" s="64" t="s">
        <v>218</v>
      </c>
      <c r="D242" s="44" t="s">
        <v>418</v>
      </c>
      <c r="E242" s="66">
        <v>2</v>
      </c>
      <c r="F242" s="35">
        <v>1</v>
      </c>
      <c r="G242" s="35">
        <f t="shared" si="843"/>
        <v>1</v>
      </c>
      <c r="H242" s="35">
        <v>1</v>
      </c>
      <c r="I242" s="35">
        <v>1</v>
      </c>
      <c r="J242" s="35">
        <v>1</v>
      </c>
      <c r="K242" s="35">
        <v>1</v>
      </c>
      <c r="L242" s="35">
        <v>2</v>
      </c>
      <c r="M242" s="35"/>
      <c r="N242">
        <f t="shared" si="844"/>
        <v>4500</v>
      </c>
      <c r="O242" s="35">
        <v>1</v>
      </c>
      <c r="P242" s="24">
        <f>ROUND(INDEX($C$2:$C$5,MATCH($E242,$B$2:$B$5,0))*$F242/SUMIFS($F:$F,$E:$E,$E242,$B:$B,$B242,O:O,1)*IF(B242=$B$10,0.9,1),0)</f>
        <v>750</v>
      </c>
      <c r="Q242" s="24">
        <f t="shared" ref="Q242:U242" si="1001">IF($L242&lt;=Q$8,1,0)</f>
        <v>0</v>
      </c>
      <c r="R242" s="24">
        <f>ROUND(INDEX($C$2:$C$5,MATCH($E242,$B$2:$B$5,0))*$I242/SUMIFS($I:$I,$E:$E,$E242,$B:$B,$B242,Q:Q,1)*IF(B242=$B$10,0.9,1),0)</f>
        <v>900</v>
      </c>
      <c r="S242" s="24">
        <f t="shared" si="1001"/>
        <v>0</v>
      </c>
      <c r="T242" s="24">
        <f>ROUND(INDEX($C$2:$C$5,MATCH($E242,$B$2:$B$5,0))*$J242/SUMIFS($J:$J,$E:$E,$E242,$B:$B,$B242,S:S,1)*IF(B242=$B$10,0.9,1),0)</f>
        <v>900</v>
      </c>
      <c r="U242" s="24">
        <f t="shared" si="1001"/>
        <v>0</v>
      </c>
      <c r="V242" s="24">
        <f>ROUND(INDEX($C$2:$C$5,MATCH($E242,$B$2:$B$5,0))*$K242/SUMIFS($K:$K,$E:$E,$E242,$B:$B,$B242,U:U,1)*IF(B242=$B$10,0.9,1),0)</f>
        <v>900</v>
      </c>
      <c r="W242" s="24">
        <f t="shared" ref="W242:AA242" si="1002">IF($L242&lt;=W$8,1,0)</f>
        <v>1</v>
      </c>
      <c r="X242" s="24">
        <f>ROUND(INDEX($C$2:$C$5,MATCH($E242,$B$2:$B$5,0))*$F242/SUMIFS($F:$F,$E:$E,$E242,$B:$B,$B242,W:W,1)*IF(B242=$B$10,0.9,1),0)</f>
        <v>750</v>
      </c>
      <c r="Y242" s="24">
        <f t="shared" si="1002"/>
        <v>1</v>
      </c>
      <c r="Z242" s="24">
        <f>ROUND(INDEX($C$2:$C$5,MATCH($E242,$B$2:$B$5,0))*$G242/SUMIFS($G:$G,$E:$E,$E242,$B:$B,$B242,Y:Y,1)*IF(B242=$B$10,0.9,1),0)</f>
        <v>750</v>
      </c>
      <c r="AA242" s="24">
        <f t="shared" si="1002"/>
        <v>1</v>
      </c>
      <c r="AB242" s="24">
        <f>ROUND(INDEX($C$2:$C$5,MATCH($E242,$B$2:$B$5,0))*$H242/SUMIFS($H:$H,$E:$E,$E242,$B:$B,$B242,AA:AA,1)*IF(B242=$B$10,0.9,1),0)</f>
        <v>750</v>
      </c>
      <c r="AC242" s="24">
        <f t="shared" ref="AC242:AG242" si="1003">IF($L242&lt;=AC$8,1,0)</f>
        <v>1</v>
      </c>
      <c r="AD242" s="24">
        <f>ROUND(INDEX($C$2:$C$5,MATCH($E242,$B$2:$B$5,0))*$F242/SUMIFS($F:$F,$E:$E,$E242,$B:$B,$B242,AC:AC,1)*IF(B242=$B$10,0.9,1),0)</f>
        <v>750</v>
      </c>
      <c r="AE242" s="24">
        <f t="shared" si="1003"/>
        <v>1</v>
      </c>
      <c r="AF242" s="24">
        <f>ROUND(INDEX($C$2:$C$5,MATCH($E242,$B$2:$B$5,0))*$G242/SUMIFS($G:$G,$E:$E,$E242,$B:$B,$B242,AE:AE,1)*IF(B242=$B$10,0.9,1),0)</f>
        <v>750</v>
      </c>
      <c r="AG242" s="24">
        <f t="shared" si="1003"/>
        <v>1</v>
      </c>
      <c r="AH242" s="24">
        <f>ROUND(INDEX($C$2:$C$5,MATCH($E242,$B$2:$B$5,0))*$H242/SUMIFS($H:$H,$E:$E,$E242,$B:$B,$B242,AG:AG,1)*IF(B242=$B$10,0.9,1),0)</f>
        <v>750</v>
      </c>
      <c r="AI242" s="24">
        <f t="shared" ref="AI242:AM242" si="1004">IF($L242&lt;=AI$8,1,0)</f>
        <v>1</v>
      </c>
      <c r="AJ242" s="24">
        <f>ROUND(INDEX($C$2:$C$5,MATCH($E242,$B$2:$B$5,0))*$F242/SUMIFS($F:$F,$E:$E,$E242,$B:$B,$B242,AI:AI,1)*IF(B242=$B$10,0.9,1),0)</f>
        <v>750</v>
      </c>
      <c r="AK242" s="24">
        <f t="shared" si="1004"/>
        <v>1</v>
      </c>
      <c r="AL242" s="24">
        <f>ROUND(INDEX($C$2:$C$5,MATCH($E242,$B$2:$B$5,0))*$G242/SUMIFS($G:$G,$E:$E,$E242,$B:$B,$B242,AK:AK,1)*IF(B242=$B$10,0.9,1),0)</f>
        <v>750</v>
      </c>
      <c r="AM242" s="24">
        <f t="shared" si="1004"/>
        <v>1</v>
      </c>
      <c r="AN242" s="24">
        <f>ROUND(INDEX($C$2:$C$5,MATCH($E242,$B$2:$B$5,0))*$H242/SUMIFS($H:$H,$E:$E,$E242,$B:$B,$B242,AM:AM,1)*IF(B242=$B$10,0.9,1),0)</f>
        <v>750</v>
      </c>
      <c r="AX242" s="4" t="str">
        <f t="shared" si="830"/>
        <v>1,750</v>
      </c>
      <c r="AY242" s="4" t="str">
        <f t="shared" si="831"/>
        <v>0,900</v>
      </c>
      <c r="AZ242" s="4" t="str">
        <f t="shared" si="832"/>
        <v>0,900</v>
      </c>
      <c r="BA242" s="4" t="str">
        <f t="shared" si="833"/>
        <v>0,900</v>
      </c>
      <c r="BB242" s="4" t="str">
        <f t="shared" si="834"/>
        <v>1,750</v>
      </c>
      <c r="BC242" s="4" t="str">
        <f t="shared" si="835"/>
        <v>1,750</v>
      </c>
      <c r="BD242" s="4" t="str">
        <f t="shared" si="836"/>
        <v>1,750</v>
      </c>
      <c r="BE242" s="4" t="str">
        <f t="shared" si="837"/>
        <v>1,750</v>
      </c>
      <c r="BF242" s="4" t="str">
        <f t="shared" si="838"/>
        <v>1,750</v>
      </c>
      <c r="BG242" s="4" t="str">
        <f t="shared" si="839"/>
        <v>1,750</v>
      </c>
      <c r="BH242" s="4" t="str">
        <f t="shared" si="840"/>
        <v>1,750</v>
      </c>
      <c r="BI242" s="4" t="str">
        <f t="shared" si="841"/>
        <v>1,750</v>
      </c>
      <c r="BJ242" s="4" t="str">
        <f t="shared" si="842"/>
        <v>1,750</v>
      </c>
    </row>
    <row r="243" customHeight="1" spans="1:62">
      <c r="A243" s="62">
        <v>1432</v>
      </c>
      <c r="B243" s="54" t="s">
        <v>109</v>
      </c>
      <c r="C243" s="64" t="s">
        <v>218</v>
      </c>
      <c r="D243" s="44" t="s">
        <v>410</v>
      </c>
      <c r="E243" s="66">
        <v>2</v>
      </c>
      <c r="F243" s="35">
        <v>1</v>
      </c>
      <c r="G243" s="35">
        <f t="shared" si="843"/>
        <v>1</v>
      </c>
      <c r="H243" s="35">
        <v>1</v>
      </c>
      <c r="I243" s="35">
        <v>1</v>
      </c>
      <c r="J243" s="35">
        <v>1</v>
      </c>
      <c r="K243" s="35">
        <v>1</v>
      </c>
      <c r="L243" s="35">
        <v>1</v>
      </c>
      <c r="M243" s="35"/>
      <c r="N243">
        <f t="shared" si="844"/>
        <v>4500</v>
      </c>
      <c r="O243" s="35">
        <v>1</v>
      </c>
      <c r="P243" s="24">
        <f>ROUND(INDEX($C$2:$C$5,MATCH($E243,$B$2:$B$5,0))*$F243/SUMIFS($F:$F,$E:$E,$E243,$B:$B,$B243,O:O,1)*IF(B243=$B$10,0.9,1),0)</f>
        <v>750</v>
      </c>
      <c r="Q243" s="24">
        <f t="shared" ref="Q243:U243" si="1005">IF($L243&lt;=Q$8,1,0)</f>
        <v>1</v>
      </c>
      <c r="R243" s="24">
        <f>ROUND(INDEX($C$2:$C$5,MATCH($E243,$B$2:$B$5,0))*$I243/SUMIFS($I:$I,$E:$E,$E243,$B:$B,$B243,Q:Q,1)*IF(B243=$B$10,0.9,1),0)</f>
        <v>900</v>
      </c>
      <c r="S243" s="24">
        <f t="shared" si="1005"/>
        <v>1</v>
      </c>
      <c r="T243" s="24">
        <f>ROUND(INDEX($C$2:$C$5,MATCH($E243,$B$2:$B$5,0))*$J243/SUMIFS($J:$J,$E:$E,$E243,$B:$B,$B243,S:S,1)*IF(B243=$B$10,0.9,1),0)</f>
        <v>900</v>
      </c>
      <c r="U243" s="24">
        <f t="shared" si="1005"/>
        <v>1</v>
      </c>
      <c r="V243" s="24">
        <f>ROUND(INDEX($C$2:$C$5,MATCH($E243,$B$2:$B$5,0))*$K243/SUMIFS($K:$K,$E:$E,$E243,$B:$B,$B243,U:U,1)*IF(B243=$B$10,0.9,1),0)</f>
        <v>900</v>
      </c>
      <c r="W243" s="24">
        <f t="shared" ref="W243:AA243" si="1006">IF($L243&lt;=W$8,1,0)</f>
        <v>1</v>
      </c>
      <c r="X243" s="24">
        <f>ROUND(INDEX($C$2:$C$5,MATCH($E243,$B$2:$B$5,0))*$F243/SUMIFS($F:$F,$E:$E,$E243,$B:$B,$B243,W:W,1)*IF(B243=$B$10,0.9,1),0)</f>
        <v>750</v>
      </c>
      <c r="Y243" s="24">
        <f t="shared" si="1006"/>
        <v>1</v>
      </c>
      <c r="Z243" s="24">
        <f>ROUND(INDEX($C$2:$C$5,MATCH($E243,$B$2:$B$5,0))*$G243/SUMIFS($G:$G,$E:$E,$E243,$B:$B,$B243,Y:Y,1)*IF(B243=$B$10,0.9,1),0)</f>
        <v>750</v>
      </c>
      <c r="AA243" s="24">
        <f t="shared" si="1006"/>
        <v>1</v>
      </c>
      <c r="AB243" s="24">
        <f>ROUND(INDEX($C$2:$C$5,MATCH($E243,$B$2:$B$5,0))*$H243/SUMIFS($H:$H,$E:$E,$E243,$B:$B,$B243,AA:AA,1)*IF(B243=$B$10,0.9,1),0)</f>
        <v>750</v>
      </c>
      <c r="AC243" s="24">
        <f t="shared" ref="AC243:AG243" si="1007">IF($L243&lt;=AC$8,1,0)</f>
        <v>1</v>
      </c>
      <c r="AD243" s="24">
        <f>ROUND(INDEX($C$2:$C$5,MATCH($E243,$B$2:$B$5,0))*$F243/SUMIFS($F:$F,$E:$E,$E243,$B:$B,$B243,AC:AC,1)*IF(B243=$B$10,0.9,1),0)</f>
        <v>750</v>
      </c>
      <c r="AE243" s="24">
        <f t="shared" si="1007"/>
        <v>1</v>
      </c>
      <c r="AF243" s="24">
        <f>ROUND(INDEX($C$2:$C$5,MATCH($E243,$B$2:$B$5,0))*$G243/SUMIFS($G:$G,$E:$E,$E243,$B:$B,$B243,AE:AE,1)*IF(B243=$B$10,0.9,1),0)</f>
        <v>750</v>
      </c>
      <c r="AG243" s="24">
        <f t="shared" si="1007"/>
        <v>1</v>
      </c>
      <c r="AH243" s="24">
        <f>ROUND(INDEX($C$2:$C$5,MATCH($E243,$B$2:$B$5,0))*$H243/SUMIFS($H:$H,$E:$E,$E243,$B:$B,$B243,AG:AG,1)*IF(B243=$B$10,0.9,1),0)</f>
        <v>750</v>
      </c>
      <c r="AI243" s="24">
        <f t="shared" ref="AI243:AM243" si="1008">IF($L243&lt;=AI$8,1,0)</f>
        <v>1</v>
      </c>
      <c r="AJ243" s="24">
        <f>ROUND(INDEX($C$2:$C$5,MATCH($E243,$B$2:$B$5,0))*$F243/SUMIFS($F:$F,$E:$E,$E243,$B:$B,$B243,AI:AI,1)*IF(B243=$B$10,0.9,1),0)</f>
        <v>750</v>
      </c>
      <c r="AK243" s="24">
        <f t="shared" si="1008"/>
        <v>1</v>
      </c>
      <c r="AL243" s="24">
        <f>ROUND(INDEX($C$2:$C$5,MATCH($E243,$B$2:$B$5,0))*$G243/SUMIFS($G:$G,$E:$E,$E243,$B:$B,$B243,AK:AK,1)*IF(B243=$B$10,0.9,1),0)</f>
        <v>750</v>
      </c>
      <c r="AM243" s="24">
        <f t="shared" si="1008"/>
        <v>1</v>
      </c>
      <c r="AN243" s="24">
        <f>ROUND(INDEX($C$2:$C$5,MATCH($E243,$B$2:$B$5,0))*$H243/SUMIFS($H:$H,$E:$E,$E243,$B:$B,$B243,AM:AM,1)*IF(B243=$B$10,0.9,1),0)</f>
        <v>750</v>
      </c>
      <c r="AX243" s="4" t="str">
        <f t="shared" si="830"/>
        <v>1,750</v>
      </c>
      <c r="AY243" s="4" t="str">
        <f t="shared" si="831"/>
        <v>1,900</v>
      </c>
      <c r="AZ243" s="4" t="str">
        <f t="shared" si="832"/>
        <v>1,900</v>
      </c>
      <c r="BA243" s="4" t="str">
        <f t="shared" si="833"/>
        <v>1,900</v>
      </c>
      <c r="BB243" s="4" t="str">
        <f t="shared" si="834"/>
        <v>1,750</v>
      </c>
      <c r="BC243" s="4" t="str">
        <f t="shared" si="835"/>
        <v>1,750</v>
      </c>
      <c r="BD243" s="4" t="str">
        <f t="shared" si="836"/>
        <v>1,750</v>
      </c>
      <c r="BE243" s="4" t="str">
        <f t="shared" si="837"/>
        <v>1,750</v>
      </c>
      <c r="BF243" s="4" t="str">
        <f t="shared" si="838"/>
        <v>1,750</v>
      </c>
      <c r="BG243" s="4" t="str">
        <f t="shared" si="839"/>
        <v>1,750</v>
      </c>
      <c r="BH243" s="4" t="str">
        <f t="shared" si="840"/>
        <v>1,750</v>
      </c>
      <c r="BI243" s="4" t="str">
        <f t="shared" si="841"/>
        <v>1,750</v>
      </c>
      <c r="BJ243" s="4" t="str">
        <f t="shared" si="842"/>
        <v>1,750</v>
      </c>
    </row>
    <row r="244" customHeight="1" spans="1:62">
      <c r="A244" s="62">
        <v>1441</v>
      </c>
      <c r="B244" s="54" t="s">
        <v>109</v>
      </c>
      <c r="C244" s="64" t="s">
        <v>218</v>
      </c>
      <c r="D244" s="46" t="s">
        <v>72</v>
      </c>
      <c r="E244" s="67">
        <v>3</v>
      </c>
      <c r="F244" s="35">
        <v>1</v>
      </c>
      <c r="G244" s="35">
        <f t="shared" si="843"/>
        <v>1</v>
      </c>
      <c r="H244" s="35">
        <v>1</v>
      </c>
      <c r="I244" s="35">
        <v>1</v>
      </c>
      <c r="J244" s="35">
        <v>1</v>
      </c>
      <c r="K244" s="35">
        <v>1</v>
      </c>
      <c r="L244" s="35">
        <v>2</v>
      </c>
      <c r="M244" s="35"/>
      <c r="N244">
        <f t="shared" si="844"/>
        <v>1500</v>
      </c>
      <c r="O244" s="35">
        <v>1</v>
      </c>
      <c r="P244" s="24">
        <f>ROUND(INDEX($C$2:$C$5,MATCH($E244,$B$2:$B$5,0))*$F244/SUMIFS($F:$F,$E:$E,$E244,$B:$B,$B244,O:O,1)*IF(B244=$B$10,0.9,1),0)</f>
        <v>250</v>
      </c>
      <c r="Q244" s="24">
        <f t="shared" ref="Q244:U244" si="1009">IF($L244&lt;=Q$8,1,0)</f>
        <v>0</v>
      </c>
      <c r="R244" s="24">
        <f>ROUND(INDEX($C$2:$C$5,MATCH($E244,$B$2:$B$5,0))*$I244/SUMIFS($I:$I,$E:$E,$E244,$B:$B,$B244,Q:Q,1)*IF(B244=$B$10,0.9,1),0)</f>
        <v>300</v>
      </c>
      <c r="S244" s="24">
        <f t="shared" si="1009"/>
        <v>0</v>
      </c>
      <c r="T244" s="24">
        <f>ROUND(INDEX($C$2:$C$5,MATCH($E244,$B$2:$B$5,0))*$J244/SUMIFS($J:$J,$E:$E,$E244,$B:$B,$B244,S:S,1)*IF(B244=$B$10,0.9,1),0)</f>
        <v>300</v>
      </c>
      <c r="U244" s="24">
        <f t="shared" si="1009"/>
        <v>0</v>
      </c>
      <c r="V244" s="24">
        <f>ROUND(INDEX($C$2:$C$5,MATCH($E244,$B$2:$B$5,0))*$K244/SUMIFS($K:$K,$E:$E,$E244,$B:$B,$B244,U:U,1)*IF(B244=$B$10,0.9,1),0)</f>
        <v>300</v>
      </c>
      <c r="W244" s="24">
        <f t="shared" ref="W244:AA244" si="1010">IF($L244&lt;=W$8,1,0)</f>
        <v>1</v>
      </c>
      <c r="X244" s="24">
        <f>ROUND(INDEX($C$2:$C$5,MATCH($E244,$B$2:$B$5,0))*$F244/SUMIFS($F:$F,$E:$E,$E244,$B:$B,$B244,W:W,1)*IF(B244=$B$10,0.9,1),0)</f>
        <v>250</v>
      </c>
      <c r="Y244" s="24">
        <f t="shared" si="1010"/>
        <v>1</v>
      </c>
      <c r="Z244" s="24">
        <f>ROUND(INDEX($C$2:$C$5,MATCH($E244,$B$2:$B$5,0))*$G244/SUMIFS($G:$G,$E:$E,$E244,$B:$B,$B244,Y:Y,1)*IF(B244=$B$10,0.9,1),0)</f>
        <v>250</v>
      </c>
      <c r="AA244" s="24">
        <f t="shared" si="1010"/>
        <v>1</v>
      </c>
      <c r="AB244" s="24">
        <f>ROUND(INDEX($C$2:$C$5,MATCH($E244,$B$2:$B$5,0))*$H244/SUMIFS($H:$H,$E:$E,$E244,$B:$B,$B244,AA:AA,1)*IF(B244=$B$10,0.9,1),0)</f>
        <v>250</v>
      </c>
      <c r="AC244" s="24">
        <f t="shared" ref="AC244:AG244" si="1011">IF($L244&lt;=AC$8,1,0)</f>
        <v>1</v>
      </c>
      <c r="AD244" s="24">
        <f>ROUND(INDEX($C$2:$C$5,MATCH($E244,$B$2:$B$5,0))*$F244/SUMIFS($F:$F,$E:$E,$E244,$B:$B,$B244,AC:AC,1)*IF(B244=$B$10,0.9,1),0)</f>
        <v>250</v>
      </c>
      <c r="AE244" s="24">
        <f t="shared" si="1011"/>
        <v>1</v>
      </c>
      <c r="AF244" s="24">
        <f>ROUND(INDEX($C$2:$C$5,MATCH($E244,$B$2:$B$5,0))*$G244/SUMIFS($G:$G,$E:$E,$E244,$B:$B,$B244,AE:AE,1)*IF(B244=$B$10,0.9,1),0)</f>
        <v>250</v>
      </c>
      <c r="AG244" s="24">
        <f t="shared" si="1011"/>
        <v>1</v>
      </c>
      <c r="AH244" s="24">
        <f>ROUND(INDEX($C$2:$C$5,MATCH($E244,$B$2:$B$5,0))*$H244/SUMIFS($H:$H,$E:$E,$E244,$B:$B,$B244,AG:AG,1)*IF(B244=$B$10,0.9,1),0)</f>
        <v>250</v>
      </c>
      <c r="AI244" s="24">
        <f t="shared" ref="AI244:AM244" si="1012">IF($L244&lt;=AI$8,1,0)</f>
        <v>1</v>
      </c>
      <c r="AJ244" s="24">
        <f>ROUND(INDEX($C$2:$C$5,MATCH($E244,$B$2:$B$5,0))*$F244/SUMIFS($F:$F,$E:$E,$E244,$B:$B,$B244,AI:AI,1)*IF(B244=$B$10,0.9,1),0)</f>
        <v>250</v>
      </c>
      <c r="AK244" s="24">
        <f t="shared" si="1012"/>
        <v>1</v>
      </c>
      <c r="AL244" s="24">
        <f>ROUND(INDEX($C$2:$C$5,MATCH($E244,$B$2:$B$5,0))*$G244/SUMIFS($G:$G,$E:$E,$E244,$B:$B,$B244,AK:AK,1)*IF(B244=$B$10,0.9,1),0)</f>
        <v>250</v>
      </c>
      <c r="AM244" s="24">
        <f t="shared" si="1012"/>
        <v>1</v>
      </c>
      <c r="AN244" s="24">
        <f>ROUND(INDEX($C$2:$C$5,MATCH($E244,$B$2:$B$5,0))*$H244/SUMIFS($H:$H,$E:$E,$E244,$B:$B,$B244,AM:AM,1)*IF(B244=$B$10,0.9,1),0)</f>
        <v>250</v>
      </c>
      <c r="AX244" s="4" t="str">
        <f t="shared" si="830"/>
        <v>1,250</v>
      </c>
      <c r="AY244" s="4" t="str">
        <f t="shared" si="831"/>
        <v>0,300</v>
      </c>
      <c r="AZ244" s="4" t="str">
        <f t="shared" si="832"/>
        <v>0,300</v>
      </c>
      <c r="BA244" s="4" t="str">
        <f t="shared" si="833"/>
        <v>0,300</v>
      </c>
      <c r="BB244" s="4" t="str">
        <f t="shared" si="834"/>
        <v>1,250</v>
      </c>
      <c r="BC244" s="4" t="str">
        <f t="shared" si="835"/>
        <v>1,250</v>
      </c>
      <c r="BD244" s="4" t="str">
        <f t="shared" si="836"/>
        <v>1,250</v>
      </c>
      <c r="BE244" s="4" t="str">
        <f t="shared" si="837"/>
        <v>1,250</v>
      </c>
      <c r="BF244" s="4" t="str">
        <f t="shared" si="838"/>
        <v>1,250</v>
      </c>
      <c r="BG244" s="4" t="str">
        <f t="shared" si="839"/>
        <v>1,250</v>
      </c>
      <c r="BH244" s="4" t="str">
        <f t="shared" si="840"/>
        <v>1,250</v>
      </c>
      <c r="BI244" s="4" t="str">
        <f t="shared" si="841"/>
        <v>1,250</v>
      </c>
      <c r="BJ244" s="4" t="str">
        <f t="shared" si="842"/>
        <v>1,250</v>
      </c>
    </row>
    <row r="245" customHeight="1" spans="1:62">
      <c r="A245" s="62">
        <v>1442</v>
      </c>
      <c r="B245" s="54" t="s">
        <v>109</v>
      </c>
      <c r="C245" s="64" t="s">
        <v>218</v>
      </c>
      <c r="D245" s="46" t="s">
        <v>382</v>
      </c>
      <c r="E245" s="67">
        <v>3</v>
      </c>
      <c r="F245" s="35">
        <v>1</v>
      </c>
      <c r="G245" s="35">
        <f t="shared" si="843"/>
        <v>1</v>
      </c>
      <c r="H245" s="35">
        <v>1</v>
      </c>
      <c r="I245" s="35">
        <v>1</v>
      </c>
      <c r="J245" s="35">
        <v>1</v>
      </c>
      <c r="K245" s="35">
        <v>1</v>
      </c>
      <c r="L245" s="35">
        <v>1</v>
      </c>
      <c r="M245" s="35"/>
      <c r="N245">
        <f t="shared" si="844"/>
        <v>1500</v>
      </c>
      <c r="O245" s="35">
        <v>1</v>
      </c>
      <c r="P245" s="24">
        <f>ROUND(INDEX($C$2:$C$5,MATCH($E245,$B$2:$B$5,0))*$F245/SUMIFS($F:$F,$E:$E,$E245,$B:$B,$B245,O:O,1)*IF(B245=$B$10,0.9,1),0)</f>
        <v>250</v>
      </c>
      <c r="Q245" s="24">
        <f t="shared" ref="Q245:U245" si="1013">IF($L245&lt;=Q$8,1,0)</f>
        <v>1</v>
      </c>
      <c r="R245" s="24">
        <f>ROUND(INDEX($C$2:$C$5,MATCH($E245,$B$2:$B$5,0))*$I245/SUMIFS($I:$I,$E:$E,$E245,$B:$B,$B245,Q:Q,1)*IF(B245=$B$10,0.9,1),0)</f>
        <v>300</v>
      </c>
      <c r="S245" s="24">
        <f t="shared" si="1013"/>
        <v>1</v>
      </c>
      <c r="T245" s="24">
        <f>ROUND(INDEX($C$2:$C$5,MATCH($E245,$B$2:$B$5,0))*$J245/SUMIFS($J:$J,$E:$E,$E245,$B:$B,$B245,S:S,1)*IF(B245=$B$10,0.9,1),0)</f>
        <v>300</v>
      </c>
      <c r="U245" s="24">
        <f t="shared" si="1013"/>
        <v>1</v>
      </c>
      <c r="V245" s="24">
        <f>ROUND(INDEX($C$2:$C$5,MATCH($E245,$B$2:$B$5,0))*$K245/SUMIFS($K:$K,$E:$E,$E245,$B:$B,$B245,U:U,1)*IF(B245=$B$10,0.9,1),0)</f>
        <v>300</v>
      </c>
      <c r="W245" s="24">
        <f t="shared" ref="W245:AA245" si="1014">IF($L245&lt;=W$8,1,0)</f>
        <v>1</v>
      </c>
      <c r="X245" s="24">
        <f>ROUND(INDEX($C$2:$C$5,MATCH($E245,$B$2:$B$5,0))*$F245/SUMIFS($F:$F,$E:$E,$E245,$B:$B,$B245,W:W,1)*IF(B245=$B$10,0.9,1),0)</f>
        <v>250</v>
      </c>
      <c r="Y245" s="24">
        <f t="shared" si="1014"/>
        <v>1</v>
      </c>
      <c r="Z245" s="24">
        <f>ROUND(INDEX($C$2:$C$5,MATCH($E245,$B$2:$B$5,0))*$G245/SUMIFS($G:$G,$E:$E,$E245,$B:$B,$B245,Y:Y,1)*IF(B245=$B$10,0.9,1),0)</f>
        <v>250</v>
      </c>
      <c r="AA245" s="24">
        <f t="shared" si="1014"/>
        <v>1</v>
      </c>
      <c r="AB245" s="24">
        <f>ROUND(INDEX($C$2:$C$5,MATCH($E245,$B$2:$B$5,0))*$H245/SUMIFS($H:$H,$E:$E,$E245,$B:$B,$B245,AA:AA,1)*IF(B245=$B$10,0.9,1),0)</f>
        <v>250</v>
      </c>
      <c r="AC245" s="24">
        <f t="shared" ref="AC245:AG245" si="1015">IF($L245&lt;=AC$8,1,0)</f>
        <v>1</v>
      </c>
      <c r="AD245" s="24">
        <f>ROUND(INDEX($C$2:$C$5,MATCH($E245,$B$2:$B$5,0))*$F245/SUMIFS($F:$F,$E:$E,$E245,$B:$B,$B245,AC:AC,1)*IF(B245=$B$10,0.9,1),0)</f>
        <v>250</v>
      </c>
      <c r="AE245" s="24">
        <f t="shared" si="1015"/>
        <v>1</v>
      </c>
      <c r="AF245" s="24">
        <f>ROUND(INDEX($C$2:$C$5,MATCH($E245,$B$2:$B$5,0))*$G245/SUMIFS($G:$G,$E:$E,$E245,$B:$B,$B245,AE:AE,1)*IF(B245=$B$10,0.9,1),0)</f>
        <v>250</v>
      </c>
      <c r="AG245" s="24">
        <f t="shared" si="1015"/>
        <v>1</v>
      </c>
      <c r="AH245" s="24">
        <f>ROUND(INDEX($C$2:$C$5,MATCH($E245,$B$2:$B$5,0))*$H245/SUMIFS($H:$H,$E:$E,$E245,$B:$B,$B245,AG:AG,1)*IF(B245=$B$10,0.9,1),0)</f>
        <v>250</v>
      </c>
      <c r="AI245" s="24">
        <f t="shared" ref="AI245:AM245" si="1016">IF($L245&lt;=AI$8,1,0)</f>
        <v>1</v>
      </c>
      <c r="AJ245" s="24">
        <f>ROUND(INDEX($C$2:$C$5,MATCH($E245,$B$2:$B$5,0))*$F245/SUMIFS($F:$F,$E:$E,$E245,$B:$B,$B245,AI:AI,1)*IF(B245=$B$10,0.9,1),0)</f>
        <v>250</v>
      </c>
      <c r="AK245" s="24">
        <f t="shared" si="1016"/>
        <v>1</v>
      </c>
      <c r="AL245" s="24">
        <f>ROUND(INDEX($C$2:$C$5,MATCH($E245,$B$2:$B$5,0))*$G245/SUMIFS($G:$G,$E:$E,$E245,$B:$B,$B245,AK:AK,1)*IF(B245=$B$10,0.9,1),0)</f>
        <v>250</v>
      </c>
      <c r="AM245" s="24">
        <f t="shared" si="1016"/>
        <v>1</v>
      </c>
      <c r="AN245" s="24">
        <f>ROUND(INDEX($C$2:$C$5,MATCH($E245,$B$2:$B$5,0))*$H245/SUMIFS($H:$H,$E:$E,$E245,$B:$B,$B245,AM:AM,1)*IF(B245=$B$10,0.9,1),0)</f>
        <v>250</v>
      </c>
      <c r="AX245" s="4" t="str">
        <f t="shared" si="830"/>
        <v>1,250</v>
      </c>
      <c r="AY245" s="4" t="str">
        <f t="shared" si="831"/>
        <v>1,300</v>
      </c>
      <c r="AZ245" s="4" t="str">
        <f t="shared" si="832"/>
        <v>1,300</v>
      </c>
      <c r="BA245" s="4" t="str">
        <f t="shared" si="833"/>
        <v>1,300</v>
      </c>
      <c r="BB245" s="4" t="str">
        <f t="shared" si="834"/>
        <v>1,250</v>
      </c>
      <c r="BC245" s="4" t="str">
        <f t="shared" si="835"/>
        <v>1,250</v>
      </c>
      <c r="BD245" s="4" t="str">
        <f t="shared" si="836"/>
        <v>1,250</v>
      </c>
      <c r="BE245" s="4" t="str">
        <f t="shared" si="837"/>
        <v>1,250</v>
      </c>
      <c r="BF245" s="4" t="str">
        <f t="shared" si="838"/>
        <v>1,250</v>
      </c>
      <c r="BG245" s="4" t="str">
        <f t="shared" si="839"/>
        <v>1,250</v>
      </c>
      <c r="BH245" s="4" t="str">
        <f t="shared" si="840"/>
        <v>1,250</v>
      </c>
      <c r="BI245" s="4" t="str">
        <f t="shared" si="841"/>
        <v>1,250</v>
      </c>
      <c r="BJ245" s="4" t="str">
        <f t="shared" si="842"/>
        <v>1,250</v>
      </c>
    </row>
    <row r="246" customHeight="1" spans="1:62">
      <c r="A246" s="62">
        <v>1451</v>
      </c>
      <c r="B246" s="54" t="s">
        <v>109</v>
      </c>
      <c r="C246" s="64"/>
      <c r="D246" s="47" t="s">
        <v>419</v>
      </c>
      <c r="E246" s="62">
        <v>4</v>
      </c>
      <c r="F246" s="35">
        <v>1</v>
      </c>
      <c r="G246" s="35">
        <f t="shared" si="843"/>
        <v>1</v>
      </c>
      <c r="H246" s="35">
        <v>1</v>
      </c>
      <c r="I246" s="35">
        <v>1</v>
      </c>
      <c r="J246" s="35">
        <v>1</v>
      </c>
      <c r="K246" s="35">
        <v>1</v>
      </c>
      <c r="L246" s="35">
        <v>3</v>
      </c>
      <c r="M246" s="35"/>
      <c r="N246">
        <f t="shared" si="844"/>
        <v>500</v>
      </c>
      <c r="O246" s="35">
        <v>1</v>
      </c>
      <c r="P246" s="24">
        <f>ROUND(INDEX($C$2:$C$5,MATCH($E246,$B$2:$B$5,0))*$F246/SUMIFS($F:$F,$E:$E,$E246,$B:$B,$B246,O:O,1)*IF(B246=$B$10,0.9,1),0)</f>
        <v>250</v>
      </c>
      <c r="Q246" s="24">
        <f t="shared" ref="Q246:U246" si="1017">IF($L246&lt;=Q$8,1,0)</f>
        <v>0</v>
      </c>
      <c r="R246" s="24">
        <f>ROUND(INDEX($C$2:$C$5,MATCH($E246,$B$2:$B$5,0))*$I246/SUMIFS($I:$I,$E:$E,$E246,$B:$B,$B246,Q:Q,1)*IF(B246=$B$10,0.9,1),0)</f>
        <v>500</v>
      </c>
      <c r="S246" s="24">
        <f t="shared" si="1017"/>
        <v>0</v>
      </c>
      <c r="T246" s="24">
        <f>ROUND(INDEX($C$2:$C$5,MATCH($E246,$B$2:$B$5,0))*$J246/SUMIFS($J:$J,$E:$E,$E246,$B:$B,$B246,S:S,1)*IF(B246=$B$10,0.9,1),0)</f>
        <v>500</v>
      </c>
      <c r="U246" s="24">
        <f t="shared" si="1017"/>
        <v>0</v>
      </c>
      <c r="V246" s="24">
        <f>ROUND(INDEX($C$2:$C$5,MATCH($E246,$B$2:$B$5,0))*$K246/SUMIFS($K:$K,$E:$E,$E246,$B:$B,$B246,U:U,1)*IF(B246=$B$10,0.9,1),0)</f>
        <v>500</v>
      </c>
      <c r="W246" s="24">
        <f t="shared" ref="W246:AA246" si="1018">IF($L246&lt;=W$8,1,0)</f>
        <v>0</v>
      </c>
      <c r="X246" s="24">
        <f>ROUND(INDEX($C$2:$C$5,MATCH($E246,$B$2:$B$5,0))*$F246/SUMIFS($F:$F,$E:$E,$E246,$B:$B,$B246,W:W,1)*IF(B246=$B$10,0.9,1),0)</f>
        <v>500</v>
      </c>
      <c r="Y246" s="24">
        <f t="shared" si="1018"/>
        <v>0</v>
      </c>
      <c r="Z246" s="24">
        <f>ROUND(INDEX($C$2:$C$5,MATCH($E246,$B$2:$B$5,0))*$G246/SUMIFS($G:$G,$E:$E,$E246,$B:$B,$B246,Y:Y,1)*IF(B246=$B$10,0.9,1),0)</f>
        <v>500</v>
      </c>
      <c r="AA246" s="24">
        <f t="shared" si="1018"/>
        <v>0</v>
      </c>
      <c r="AB246" s="24">
        <f>ROUND(INDEX($C$2:$C$5,MATCH($E246,$B$2:$B$5,0))*$H246/SUMIFS($H:$H,$E:$E,$E246,$B:$B,$B246,AA:AA,1)*IF(B246=$B$10,0.9,1),0)</f>
        <v>500</v>
      </c>
      <c r="AC246" s="24">
        <f t="shared" ref="AC246:AG246" si="1019">IF($L246&lt;=AC$8,1,0)</f>
        <v>1</v>
      </c>
      <c r="AD246" s="24">
        <f>ROUND(INDEX($C$2:$C$5,MATCH($E246,$B$2:$B$5,0))*$F246/SUMIFS($F:$F,$E:$E,$E246,$B:$B,$B246,AC:AC,1)*IF(B246=$B$10,0.9,1),0)</f>
        <v>250</v>
      </c>
      <c r="AE246" s="24">
        <f t="shared" si="1019"/>
        <v>1</v>
      </c>
      <c r="AF246" s="24">
        <f>ROUND(INDEX($C$2:$C$5,MATCH($E246,$B$2:$B$5,0))*$G246/SUMIFS($G:$G,$E:$E,$E246,$B:$B,$B246,AE:AE,1)*IF(B246=$B$10,0.9,1),0)</f>
        <v>250</v>
      </c>
      <c r="AG246" s="24">
        <f t="shared" si="1019"/>
        <v>1</v>
      </c>
      <c r="AH246" s="24">
        <f>ROUND(INDEX($C$2:$C$5,MATCH($E246,$B$2:$B$5,0))*$H246/SUMIFS($H:$H,$E:$E,$E246,$B:$B,$B246,AG:AG,1)*IF(B246=$B$10,0.9,1),0)</f>
        <v>250</v>
      </c>
      <c r="AI246" s="24">
        <f t="shared" ref="AI246:AM246" si="1020">IF($L246&lt;=AI$8,1,0)</f>
        <v>1</v>
      </c>
      <c r="AJ246" s="24">
        <f>ROUND(INDEX($C$2:$C$5,MATCH($E246,$B$2:$B$5,0))*$F246/SUMIFS($F:$F,$E:$E,$E246,$B:$B,$B246,AI:AI,1)*IF(B246=$B$10,0.9,1),0)</f>
        <v>250</v>
      </c>
      <c r="AK246" s="24">
        <f t="shared" si="1020"/>
        <v>1</v>
      </c>
      <c r="AL246" s="24">
        <f>ROUND(INDEX($C$2:$C$5,MATCH($E246,$B$2:$B$5,0))*$G246/SUMIFS($G:$G,$E:$E,$E246,$B:$B,$B246,AK:AK,1)*IF(B246=$B$10,0.9,1),0)</f>
        <v>250</v>
      </c>
      <c r="AM246" s="24">
        <f t="shared" si="1020"/>
        <v>1</v>
      </c>
      <c r="AN246" s="24">
        <f>ROUND(INDEX($C$2:$C$5,MATCH($E246,$B$2:$B$5,0))*$H246/SUMIFS($H:$H,$E:$E,$E246,$B:$B,$B246,AM:AM,1)*IF(B246=$B$10,0.9,1),0)</f>
        <v>250</v>
      </c>
      <c r="AX246" s="4" t="str">
        <f t="shared" si="830"/>
        <v>1,250</v>
      </c>
      <c r="AY246" s="4" t="str">
        <f t="shared" si="831"/>
        <v>0,500</v>
      </c>
      <c r="AZ246" s="4" t="str">
        <f t="shared" si="832"/>
        <v>0,500</v>
      </c>
      <c r="BA246" s="4" t="str">
        <f t="shared" si="833"/>
        <v>0,500</v>
      </c>
      <c r="BB246" s="4" t="str">
        <f t="shared" si="834"/>
        <v>0,500</v>
      </c>
      <c r="BC246" s="4" t="str">
        <f t="shared" si="835"/>
        <v>0,500</v>
      </c>
      <c r="BD246" s="4" t="str">
        <f t="shared" si="836"/>
        <v>0,500</v>
      </c>
      <c r="BE246" s="4" t="str">
        <f t="shared" si="837"/>
        <v>1,250</v>
      </c>
      <c r="BF246" s="4" t="str">
        <f t="shared" si="838"/>
        <v>1,250</v>
      </c>
      <c r="BG246" s="4" t="str">
        <f t="shared" si="839"/>
        <v>1,250</v>
      </c>
      <c r="BH246" s="4" t="str">
        <f t="shared" si="840"/>
        <v>1,250</v>
      </c>
      <c r="BI246" s="4" t="str">
        <f t="shared" si="841"/>
        <v>1,250</v>
      </c>
      <c r="BJ246" s="4" t="str">
        <f t="shared" si="842"/>
        <v>1,250</v>
      </c>
    </row>
    <row r="247" customHeight="1" spans="1:62">
      <c r="A247" s="62">
        <v>1452</v>
      </c>
      <c r="B247" s="54" t="s">
        <v>109</v>
      </c>
      <c r="C247" s="64"/>
      <c r="D247" s="48" t="s">
        <v>420</v>
      </c>
      <c r="E247" s="65">
        <v>4</v>
      </c>
      <c r="F247" s="35">
        <v>1</v>
      </c>
      <c r="G247" s="35">
        <f t="shared" si="843"/>
        <v>1</v>
      </c>
      <c r="H247" s="35">
        <v>1</v>
      </c>
      <c r="I247" s="35">
        <v>1</v>
      </c>
      <c r="J247" s="35">
        <v>1</v>
      </c>
      <c r="K247" s="35">
        <v>1</v>
      </c>
      <c r="L247" s="35">
        <v>1</v>
      </c>
      <c r="M247" s="35"/>
      <c r="N247">
        <f t="shared" si="844"/>
        <v>500</v>
      </c>
      <c r="O247" s="35">
        <v>1</v>
      </c>
      <c r="P247" s="24">
        <f>ROUND(INDEX($C$2:$C$5,MATCH($E247,$B$2:$B$5,0))*$F247/SUMIFS($F:$F,$E:$E,$E247,$B:$B,$B247,O:O,1)*IF(B247=$B$10,0.9,1),0)</f>
        <v>250</v>
      </c>
      <c r="Q247" s="24">
        <f t="shared" ref="Q247:U247" si="1021">IF($L247&lt;=Q$8,1,0)</f>
        <v>1</v>
      </c>
      <c r="R247" s="24">
        <f>ROUND(INDEX($C$2:$C$5,MATCH($E247,$B$2:$B$5,0))*$I247/SUMIFS($I:$I,$E:$E,$E247,$B:$B,$B247,Q:Q,1)*IF(B247=$B$10,0.9,1),0)</f>
        <v>500</v>
      </c>
      <c r="S247" s="24">
        <f t="shared" si="1021"/>
        <v>1</v>
      </c>
      <c r="T247" s="24">
        <f>ROUND(INDEX($C$2:$C$5,MATCH($E247,$B$2:$B$5,0))*$J247/SUMIFS($J:$J,$E:$E,$E247,$B:$B,$B247,S:S,1)*IF(B247=$B$10,0.9,1),0)</f>
        <v>500</v>
      </c>
      <c r="U247" s="24">
        <f t="shared" si="1021"/>
        <v>1</v>
      </c>
      <c r="V247" s="24">
        <f>ROUND(INDEX($C$2:$C$5,MATCH($E247,$B$2:$B$5,0))*$K247/SUMIFS($K:$K,$E:$E,$E247,$B:$B,$B247,U:U,1)*IF(B247=$B$10,0.9,1),0)</f>
        <v>500</v>
      </c>
      <c r="W247" s="24">
        <f t="shared" ref="W247:AA247" si="1022">IF($L247&lt;=W$8,1,0)</f>
        <v>1</v>
      </c>
      <c r="X247" s="24">
        <f>ROUND(INDEX($C$2:$C$5,MATCH($E247,$B$2:$B$5,0))*$F247/SUMIFS($F:$F,$E:$E,$E247,$B:$B,$B247,W:W,1)*IF(B247=$B$10,0.9,1),0)</f>
        <v>500</v>
      </c>
      <c r="Y247" s="24">
        <f t="shared" si="1022"/>
        <v>1</v>
      </c>
      <c r="Z247" s="24">
        <f>ROUND(INDEX($C$2:$C$5,MATCH($E247,$B$2:$B$5,0))*$G247/SUMIFS($G:$G,$E:$E,$E247,$B:$B,$B247,Y:Y,1)*IF(B247=$B$10,0.9,1),0)</f>
        <v>500</v>
      </c>
      <c r="AA247" s="24">
        <f t="shared" si="1022"/>
        <v>1</v>
      </c>
      <c r="AB247" s="24">
        <f>ROUND(INDEX($C$2:$C$5,MATCH($E247,$B$2:$B$5,0))*$H247/SUMIFS($H:$H,$E:$E,$E247,$B:$B,$B247,AA:AA,1)*IF(B247=$B$10,0.9,1),0)</f>
        <v>500</v>
      </c>
      <c r="AC247" s="24">
        <f t="shared" ref="AC247:AG247" si="1023">IF($L247&lt;=AC$8,1,0)</f>
        <v>1</v>
      </c>
      <c r="AD247" s="24">
        <f>ROUND(INDEX($C$2:$C$5,MATCH($E247,$B$2:$B$5,0))*$F247/SUMIFS($F:$F,$E:$E,$E247,$B:$B,$B247,AC:AC,1)*IF(B247=$B$10,0.9,1),0)</f>
        <v>250</v>
      </c>
      <c r="AE247" s="24">
        <f t="shared" si="1023"/>
        <v>1</v>
      </c>
      <c r="AF247" s="24">
        <f>ROUND(INDEX($C$2:$C$5,MATCH($E247,$B$2:$B$5,0))*$G247/SUMIFS($G:$G,$E:$E,$E247,$B:$B,$B247,AE:AE,1)*IF(B247=$B$10,0.9,1),0)</f>
        <v>250</v>
      </c>
      <c r="AG247" s="24">
        <f t="shared" si="1023"/>
        <v>1</v>
      </c>
      <c r="AH247" s="24">
        <f>ROUND(INDEX($C$2:$C$5,MATCH($E247,$B$2:$B$5,0))*$H247/SUMIFS($H:$H,$E:$E,$E247,$B:$B,$B247,AG:AG,1)*IF(B247=$B$10,0.9,1),0)</f>
        <v>250</v>
      </c>
      <c r="AI247" s="24">
        <f t="shared" ref="AI247:AM247" si="1024">IF($L247&lt;=AI$8,1,0)</f>
        <v>1</v>
      </c>
      <c r="AJ247" s="24">
        <f>ROUND(INDEX($C$2:$C$5,MATCH($E247,$B$2:$B$5,0))*$F247/SUMIFS($F:$F,$E:$E,$E247,$B:$B,$B247,AI:AI,1)*IF(B247=$B$10,0.9,1),0)</f>
        <v>250</v>
      </c>
      <c r="AK247" s="24">
        <f t="shared" si="1024"/>
        <v>1</v>
      </c>
      <c r="AL247" s="24">
        <f>ROUND(INDEX($C$2:$C$5,MATCH($E247,$B$2:$B$5,0))*$G247/SUMIFS($G:$G,$E:$E,$E247,$B:$B,$B247,AK:AK,1)*IF(B247=$B$10,0.9,1),0)</f>
        <v>250</v>
      </c>
      <c r="AM247" s="24">
        <f t="shared" si="1024"/>
        <v>1</v>
      </c>
      <c r="AN247" s="24">
        <f>ROUND(INDEX($C$2:$C$5,MATCH($E247,$B$2:$B$5,0))*$H247/SUMIFS($H:$H,$E:$E,$E247,$B:$B,$B247,AM:AM,1)*IF(B247=$B$10,0.9,1),0)</f>
        <v>250</v>
      </c>
      <c r="AX247" s="4" t="str">
        <f t="shared" si="830"/>
        <v>1,250</v>
      </c>
      <c r="AY247" s="4" t="str">
        <f t="shared" si="831"/>
        <v>1,500</v>
      </c>
      <c r="AZ247" s="4" t="str">
        <f t="shared" si="832"/>
        <v>1,500</v>
      </c>
      <c r="BA247" s="4" t="str">
        <f t="shared" si="833"/>
        <v>1,500</v>
      </c>
      <c r="BB247" s="4" t="str">
        <f t="shared" si="834"/>
        <v>1,500</v>
      </c>
      <c r="BC247" s="4" t="str">
        <f t="shared" si="835"/>
        <v>1,500</v>
      </c>
      <c r="BD247" s="4" t="str">
        <f t="shared" si="836"/>
        <v>1,500</v>
      </c>
      <c r="BE247" s="4" t="str">
        <f t="shared" si="837"/>
        <v>1,250</v>
      </c>
      <c r="BF247" s="4" t="str">
        <f t="shared" si="838"/>
        <v>1,250</v>
      </c>
      <c r="BG247" s="4" t="str">
        <f t="shared" si="839"/>
        <v>1,250</v>
      </c>
      <c r="BH247" s="4" t="str">
        <f t="shared" si="840"/>
        <v>1,250</v>
      </c>
      <c r="BI247" s="4" t="str">
        <f t="shared" si="841"/>
        <v>1,250</v>
      </c>
      <c r="BJ247" s="4" t="str">
        <f t="shared" si="842"/>
        <v>1,250</v>
      </c>
    </row>
    <row r="248" customHeight="1" spans="1:62">
      <c r="A248" s="62">
        <v>1501</v>
      </c>
      <c r="B248" s="54" t="s">
        <v>114</v>
      </c>
      <c r="C248" s="64"/>
      <c r="D248" s="41" t="s">
        <v>356</v>
      </c>
      <c r="E248" s="66">
        <v>1</v>
      </c>
      <c r="F248" s="35">
        <v>1</v>
      </c>
      <c r="G248" s="35">
        <f t="shared" si="843"/>
        <v>1</v>
      </c>
      <c r="H248" s="35">
        <v>1</v>
      </c>
      <c r="I248" s="35">
        <v>1</v>
      </c>
      <c r="J248" s="35">
        <v>1</v>
      </c>
      <c r="K248" s="35">
        <v>1</v>
      </c>
      <c r="L248" s="35">
        <v>1</v>
      </c>
      <c r="M248" s="35"/>
      <c r="N248">
        <f t="shared" si="844"/>
        <v>13500</v>
      </c>
      <c r="O248" s="35">
        <v>1</v>
      </c>
      <c r="P248" s="24">
        <f>ROUND(INDEX($C$2:$C$5,MATCH($E248,$B$2:$B$5,0))*$F248/SUMIFS($F:$F,$E:$E,$E248,$B:$B,$B248,O:O,1)*IF(B248=$B$10,0.9,1),0)</f>
        <v>4500</v>
      </c>
      <c r="Q248" s="24">
        <f t="shared" ref="Q248:U248" si="1025">IF($L248&lt;=Q$8,1,0)</f>
        <v>1</v>
      </c>
      <c r="R248" s="24">
        <f>ROUND(INDEX($C$2:$C$5,MATCH($E248,$B$2:$B$5,0))*$I248/SUMIFS($I:$I,$E:$E,$E248,$B:$B,$B248,Q:Q,1)*IF(B248=$B$10,0.9,1),0)</f>
        <v>4500</v>
      </c>
      <c r="S248" s="24">
        <f t="shared" si="1025"/>
        <v>1</v>
      </c>
      <c r="T248" s="24">
        <f>ROUND(INDEX($C$2:$C$5,MATCH($E248,$B$2:$B$5,0))*$J248/SUMIFS($J:$J,$E:$E,$E248,$B:$B,$B248,S:S,1)*IF(B248=$B$10,0.9,1),0)</f>
        <v>4500</v>
      </c>
      <c r="U248" s="24">
        <f t="shared" si="1025"/>
        <v>1</v>
      </c>
      <c r="V248" s="24">
        <f>ROUND(INDEX($C$2:$C$5,MATCH($E248,$B$2:$B$5,0))*$K248/SUMIFS($K:$K,$E:$E,$E248,$B:$B,$B248,U:U,1)*IF(B248=$B$10,0.9,1),0)</f>
        <v>4500</v>
      </c>
      <c r="W248" s="24">
        <f t="shared" ref="W248:AA248" si="1026">IF($L248&lt;=W$8,1,0)</f>
        <v>1</v>
      </c>
      <c r="X248" s="24">
        <f>ROUND(INDEX($C$2:$C$5,MATCH($E248,$B$2:$B$5,0))*$F248/SUMIFS($F:$F,$E:$E,$E248,$B:$B,$B248,W:W,1)*IF(B248=$B$10,0.9,1),0)</f>
        <v>4500</v>
      </c>
      <c r="Y248" s="24">
        <f t="shared" si="1026"/>
        <v>1</v>
      </c>
      <c r="Z248" s="24">
        <f>ROUND(INDEX($C$2:$C$5,MATCH($E248,$B$2:$B$5,0))*$G248/SUMIFS($G:$G,$E:$E,$E248,$B:$B,$B248,Y:Y,1)*IF(B248=$B$10,0.9,1),0)</f>
        <v>4500</v>
      </c>
      <c r="AA248" s="24">
        <f t="shared" si="1026"/>
        <v>1</v>
      </c>
      <c r="AB248" s="24">
        <f>ROUND(INDEX($C$2:$C$5,MATCH($E248,$B$2:$B$5,0))*$H248/SUMIFS($H:$H,$E:$E,$E248,$B:$B,$B248,AA:AA,1)*IF(B248=$B$10,0.9,1),0)</f>
        <v>4500</v>
      </c>
      <c r="AC248" s="24">
        <f t="shared" ref="AC248:AG248" si="1027">IF($L248&lt;=AC$8,1,0)</f>
        <v>1</v>
      </c>
      <c r="AD248" s="24">
        <f>ROUND(INDEX($C$2:$C$5,MATCH($E248,$B$2:$B$5,0))*$F248/SUMIFS($F:$F,$E:$E,$E248,$B:$B,$B248,AC:AC,1)*IF(B248=$B$10,0.9,1),0)</f>
        <v>4500</v>
      </c>
      <c r="AE248" s="24">
        <f t="shared" si="1027"/>
        <v>1</v>
      </c>
      <c r="AF248" s="24">
        <f>ROUND(INDEX($C$2:$C$5,MATCH($E248,$B$2:$B$5,0))*$G248/SUMIFS($G:$G,$E:$E,$E248,$B:$B,$B248,AE:AE,1)*IF(B248=$B$10,0.9,1),0)</f>
        <v>4500</v>
      </c>
      <c r="AG248" s="24">
        <f t="shared" si="1027"/>
        <v>1</v>
      </c>
      <c r="AH248" s="24">
        <f>ROUND(INDEX($C$2:$C$5,MATCH($E248,$B$2:$B$5,0))*$H248/SUMIFS($H:$H,$E:$E,$E248,$B:$B,$B248,AG:AG,1)*IF(B248=$B$10,0.9,1),0)</f>
        <v>4500</v>
      </c>
      <c r="AI248" s="24">
        <f t="shared" ref="AI248:AM248" si="1028">IF($L248&lt;=AI$8,1,0)</f>
        <v>1</v>
      </c>
      <c r="AJ248" s="24">
        <f>ROUND(INDEX($C$2:$C$5,MATCH($E248,$B$2:$B$5,0))*$F248/SUMIFS($F:$F,$E:$E,$E248,$B:$B,$B248,AI:AI,1)*IF(B248=$B$10,0.9,1),0)</f>
        <v>4500</v>
      </c>
      <c r="AK248" s="24">
        <f t="shared" si="1028"/>
        <v>1</v>
      </c>
      <c r="AL248" s="24">
        <f>ROUND(INDEX($C$2:$C$5,MATCH($E248,$B$2:$B$5,0))*$G248/SUMIFS($G:$G,$E:$E,$E248,$B:$B,$B248,AK:AK,1)*IF(B248=$B$10,0.9,1),0)</f>
        <v>4500</v>
      </c>
      <c r="AM248" s="24">
        <f t="shared" si="1028"/>
        <v>1</v>
      </c>
      <c r="AN248" s="24">
        <f>ROUND(INDEX($C$2:$C$5,MATCH($E248,$B$2:$B$5,0))*$H248/SUMIFS($H:$H,$E:$E,$E248,$B:$B,$B248,AM:AM,1)*IF(B248=$B$10,0.9,1),0)</f>
        <v>4500</v>
      </c>
      <c r="AX248" s="4" t="str">
        <f t="shared" si="830"/>
        <v>1,4500</v>
      </c>
      <c r="AY248" s="4" t="str">
        <f t="shared" si="831"/>
        <v>1,4500</v>
      </c>
      <c r="AZ248" s="4" t="str">
        <f t="shared" si="832"/>
        <v>1,4500</v>
      </c>
      <c r="BA248" s="4" t="str">
        <f t="shared" si="833"/>
        <v>1,4500</v>
      </c>
      <c r="BB248" s="4" t="str">
        <f t="shared" si="834"/>
        <v>1,4500</v>
      </c>
      <c r="BC248" s="4" t="str">
        <f t="shared" si="835"/>
        <v>1,4500</v>
      </c>
      <c r="BD248" s="4" t="str">
        <f t="shared" si="836"/>
        <v>1,4500</v>
      </c>
      <c r="BE248" s="4" t="str">
        <f t="shared" si="837"/>
        <v>1,4500</v>
      </c>
      <c r="BF248" s="4" t="str">
        <f t="shared" si="838"/>
        <v>1,4500</v>
      </c>
      <c r="BG248" s="4" t="str">
        <f t="shared" si="839"/>
        <v>1,4500</v>
      </c>
      <c r="BH248" s="4" t="str">
        <f t="shared" si="840"/>
        <v>1,4500</v>
      </c>
      <c r="BI248" s="4" t="str">
        <f t="shared" si="841"/>
        <v>1,4500</v>
      </c>
      <c r="BJ248" s="4" t="str">
        <f t="shared" si="842"/>
        <v>1,4500</v>
      </c>
    </row>
    <row r="249" customHeight="1" spans="1:62">
      <c r="A249" s="62">
        <v>1502</v>
      </c>
      <c r="B249" s="54" t="s">
        <v>114</v>
      </c>
      <c r="C249" s="64" t="s">
        <v>218</v>
      </c>
      <c r="D249" s="41" t="s">
        <v>357</v>
      </c>
      <c r="E249" s="66">
        <v>1</v>
      </c>
      <c r="F249" s="35">
        <v>1</v>
      </c>
      <c r="G249" s="35">
        <f t="shared" si="843"/>
        <v>1</v>
      </c>
      <c r="H249" s="35">
        <v>1</v>
      </c>
      <c r="I249" s="35">
        <v>1</v>
      </c>
      <c r="J249" s="35">
        <v>1</v>
      </c>
      <c r="K249" s="35">
        <v>1</v>
      </c>
      <c r="L249" s="35">
        <v>1</v>
      </c>
      <c r="M249" s="35" t="s">
        <v>136</v>
      </c>
      <c r="N249">
        <f t="shared" si="844"/>
        <v>13500</v>
      </c>
      <c r="O249" s="35">
        <v>1</v>
      </c>
      <c r="P249" s="24">
        <f>ROUND(INDEX($C$2:$C$5,MATCH($E249,$B$2:$B$5,0))*$F249/SUMIFS($F:$F,$E:$E,$E249,$B:$B,$B249,O:O,1)*IF(B249=$B$10,0.9,1),0)</f>
        <v>4500</v>
      </c>
      <c r="Q249" s="24">
        <f t="shared" ref="Q249:U249" si="1029">IF($L249&lt;=Q$8,1,0)</f>
        <v>1</v>
      </c>
      <c r="R249" s="24">
        <f>ROUND(INDEX($C$2:$C$5,MATCH($E249,$B$2:$B$5,0))*$I249/SUMIFS($I:$I,$E:$E,$E249,$B:$B,$B249,Q:Q,1)*IF(B249=$B$10,0.9,1),0)</f>
        <v>4500</v>
      </c>
      <c r="S249" s="24">
        <f t="shared" si="1029"/>
        <v>1</v>
      </c>
      <c r="T249" s="24">
        <f>ROUND(INDEX($C$2:$C$5,MATCH($E249,$B$2:$B$5,0))*$J249/SUMIFS($J:$J,$E:$E,$E249,$B:$B,$B249,S:S,1)*IF(B249=$B$10,0.9,1),0)</f>
        <v>4500</v>
      </c>
      <c r="U249" s="24">
        <f t="shared" si="1029"/>
        <v>1</v>
      </c>
      <c r="V249" s="24">
        <f>ROUND(INDEX($C$2:$C$5,MATCH($E249,$B$2:$B$5,0))*$K249/SUMIFS($K:$K,$E:$E,$E249,$B:$B,$B249,U:U,1)*IF(B249=$B$10,0.9,1),0)</f>
        <v>4500</v>
      </c>
      <c r="W249" s="24">
        <f t="shared" ref="W249:AA249" si="1030">IF($L249&lt;=W$8,1,0)</f>
        <v>1</v>
      </c>
      <c r="X249" s="24">
        <f>ROUND(INDEX($C$2:$C$5,MATCH($E249,$B$2:$B$5,0))*$F249/SUMIFS($F:$F,$E:$E,$E249,$B:$B,$B249,W:W,1)*IF(B249=$B$10,0.9,1),0)</f>
        <v>4500</v>
      </c>
      <c r="Y249" s="24">
        <f t="shared" si="1030"/>
        <v>1</v>
      </c>
      <c r="Z249" s="24">
        <f>ROUND(INDEX($C$2:$C$5,MATCH($E249,$B$2:$B$5,0))*$G249/SUMIFS($G:$G,$E:$E,$E249,$B:$B,$B249,Y:Y,1)*IF(B249=$B$10,0.9,1),0)</f>
        <v>4500</v>
      </c>
      <c r="AA249" s="24">
        <f t="shared" si="1030"/>
        <v>1</v>
      </c>
      <c r="AB249" s="24">
        <f>ROUND(INDEX($C$2:$C$5,MATCH($E249,$B$2:$B$5,0))*$H249/SUMIFS($H:$H,$E:$E,$E249,$B:$B,$B249,AA:AA,1)*IF(B249=$B$10,0.9,1),0)</f>
        <v>4500</v>
      </c>
      <c r="AC249" s="24">
        <f t="shared" ref="AC249:AG249" si="1031">IF($L249&lt;=AC$8,1,0)</f>
        <v>1</v>
      </c>
      <c r="AD249" s="24">
        <f>ROUND(INDEX($C$2:$C$5,MATCH($E249,$B$2:$B$5,0))*$F249/SUMIFS($F:$F,$E:$E,$E249,$B:$B,$B249,AC:AC,1)*IF(B249=$B$10,0.9,1),0)</f>
        <v>4500</v>
      </c>
      <c r="AE249" s="24">
        <f t="shared" si="1031"/>
        <v>1</v>
      </c>
      <c r="AF249" s="24">
        <f>ROUND(INDEX($C$2:$C$5,MATCH($E249,$B$2:$B$5,0))*$G249/SUMIFS($G:$G,$E:$E,$E249,$B:$B,$B249,AE:AE,1)*IF(B249=$B$10,0.9,1),0)</f>
        <v>4500</v>
      </c>
      <c r="AG249" s="24">
        <f t="shared" si="1031"/>
        <v>1</v>
      </c>
      <c r="AH249" s="24">
        <f>ROUND(INDEX($C$2:$C$5,MATCH($E249,$B$2:$B$5,0))*$H249/SUMIFS($H:$H,$E:$E,$E249,$B:$B,$B249,AG:AG,1)*IF(B249=$B$10,0.9,1),0)</f>
        <v>4500</v>
      </c>
      <c r="AI249" s="24">
        <f t="shared" ref="AI249:AM249" si="1032">IF($L249&lt;=AI$8,1,0)</f>
        <v>1</v>
      </c>
      <c r="AJ249" s="24">
        <f>ROUND(INDEX($C$2:$C$5,MATCH($E249,$B$2:$B$5,0))*$F249/SUMIFS($F:$F,$E:$E,$E249,$B:$B,$B249,AI:AI,1)*IF(B249=$B$10,0.9,1),0)</f>
        <v>4500</v>
      </c>
      <c r="AK249" s="24">
        <f t="shared" si="1032"/>
        <v>1</v>
      </c>
      <c r="AL249" s="24">
        <f>ROUND(INDEX($C$2:$C$5,MATCH($E249,$B$2:$B$5,0))*$G249/SUMIFS($G:$G,$E:$E,$E249,$B:$B,$B249,AK:AK,1)*IF(B249=$B$10,0.9,1),0)</f>
        <v>4500</v>
      </c>
      <c r="AM249" s="24">
        <f t="shared" si="1032"/>
        <v>1</v>
      </c>
      <c r="AN249" s="24">
        <f>ROUND(INDEX($C$2:$C$5,MATCH($E249,$B$2:$B$5,0))*$H249/SUMIFS($H:$H,$E:$E,$E249,$B:$B,$B249,AM:AM,1)*IF(B249=$B$10,0.9,1),0)</f>
        <v>4500</v>
      </c>
      <c r="AX249" s="4" t="str">
        <f t="shared" si="830"/>
        <v>1,4500</v>
      </c>
      <c r="AY249" s="4" t="str">
        <f t="shared" si="831"/>
        <v>1,4500</v>
      </c>
      <c r="AZ249" s="4" t="str">
        <f t="shared" si="832"/>
        <v>1,4500</v>
      </c>
      <c r="BA249" s="4" t="str">
        <f t="shared" si="833"/>
        <v>1,4500</v>
      </c>
      <c r="BB249" s="4" t="str">
        <f t="shared" si="834"/>
        <v>1,4500</v>
      </c>
      <c r="BC249" s="4" t="str">
        <f t="shared" si="835"/>
        <v>1,4500</v>
      </c>
      <c r="BD249" s="4" t="str">
        <f t="shared" si="836"/>
        <v>1,4500</v>
      </c>
      <c r="BE249" s="4" t="str">
        <f t="shared" si="837"/>
        <v>1,4500</v>
      </c>
      <c r="BF249" s="4" t="str">
        <f t="shared" si="838"/>
        <v>1,4500</v>
      </c>
      <c r="BG249" s="4" t="str">
        <f t="shared" si="839"/>
        <v>1,4500</v>
      </c>
      <c r="BH249" s="4" t="str">
        <f t="shared" si="840"/>
        <v>1,4500</v>
      </c>
      <c r="BI249" s="4" t="str">
        <f t="shared" si="841"/>
        <v>1,4500</v>
      </c>
      <c r="BJ249" s="4" t="str">
        <f t="shared" si="842"/>
        <v>1,4500</v>
      </c>
    </row>
    <row r="250" customHeight="1" spans="1:62">
      <c r="A250" s="62">
        <v>1503</v>
      </c>
      <c r="B250" s="54" t="s">
        <v>114</v>
      </c>
      <c r="C250" s="64" t="s">
        <v>218</v>
      </c>
      <c r="D250" s="41" t="s">
        <v>361</v>
      </c>
      <c r="E250" s="66">
        <v>1</v>
      </c>
      <c r="F250" s="35">
        <v>1</v>
      </c>
      <c r="G250" s="35">
        <f t="shared" si="843"/>
        <v>1</v>
      </c>
      <c r="H250" s="35">
        <v>1</v>
      </c>
      <c r="I250" s="35">
        <v>1</v>
      </c>
      <c r="J250" s="35">
        <v>1</v>
      </c>
      <c r="K250" s="35">
        <v>1</v>
      </c>
      <c r="L250" s="35">
        <v>1</v>
      </c>
      <c r="M250" s="35" t="s">
        <v>136</v>
      </c>
      <c r="N250">
        <f t="shared" si="844"/>
        <v>13500</v>
      </c>
      <c r="O250" s="35">
        <v>1</v>
      </c>
      <c r="P250" s="24">
        <f>ROUND(INDEX($C$2:$C$5,MATCH($E250,$B$2:$B$5,0))*$F250/SUMIFS($F:$F,$E:$E,$E250,$B:$B,$B250,O:O,1)*IF(B250=$B$10,0.9,1),0)</f>
        <v>4500</v>
      </c>
      <c r="Q250" s="24">
        <f t="shared" ref="Q250:U250" si="1033">IF($L250&lt;=Q$8,1,0)</f>
        <v>1</v>
      </c>
      <c r="R250" s="24">
        <f>ROUND(INDEX($C$2:$C$5,MATCH($E250,$B$2:$B$5,0))*$I250/SUMIFS($I:$I,$E:$E,$E250,$B:$B,$B250,Q:Q,1)*IF(B250=$B$10,0.9,1),0)</f>
        <v>4500</v>
      </c>
      <c r="S250" s="24">
        <f t="shared" si="1033"/>
        <v>1</v>
      </c>
      <c r="T250" s="24">
        <f>ROUND(INDEX($C$2:$C$5,MATCH($E250,$B$2:$B$5,0))*$J250/SUMIFS($J:$J,$E:$E,$E250,$B:$B,$B250,S:S,1)*IF(B250=$B$10,0.9,1),0)</f>
        <v>4500</v>
      </c>
      <c r="U250" s="24">
        <f t="shared" si="1033"/>
        <v>1</v>
      </c>
      <c r="V250" s="24">
        <f>ROUND(INDEX($C$2:$C$5,MATCH($E250,$B$2:$B$5,0))*$K250/SUMIFS($K:$K,$E:$E,$E250,$B:$B,$B250,U:U,1)*IF(B250=$B$10,0.9,1),0)</f>
        <v>4500</v>
      </c>
      <c r="W250" s="24">
        <f t="shared" ref="W250:AA250" si="1034">IF($L250&lt;=W$8,1,0)</f>
        <v>1</v>
      </c>
      <c r="X250" s="24">
        <f>ROUND(INDEX($C$2:$C$5,MATCH($E250,$B$2:$B$5,0))*$F250/SUMIFS($F:$F,$E:$E,$E250,$B:$B,$B250,W:W,1)*IF(B250=$B$10,0.9,1),0)</f>
        <v>4500</v>
      </c>
      <c r="Y250" s="24">
        <f t="shared" si="1034"/>
        <v>1</v>
      </c>
      <c r="Z250" s="24">
        <f>ROUND(INDEX($C$2:$C$5,MATCH($E250,$B$2:$B$5,0))*$G250/SUMIFS($G:$G,$E:$E,$E250,$B:$B,$B250,Y:Y,1)*IF(B250=$B$10,0.9,1),0)</f>
        <v>4500</v>
      </c>
      <c r="AA250" s="24">
        <f t="shared" si="1034"/>
        <v>1</v>
      </c>
      <c r="AB250" s="24">
        <f>ROUND(INDEX($C$2:$C$5,MATCH($E250,$B$2:$B$5,0))*$H250/SUMIFS($H:$H,$E:$E,$E250,$B:$B,$B250,AA:AA,1)*IF(B250=$B$10,0.9,1),0)</f>
        <v>4500</v>
      </c>
      <c r="AC250" s="24">
        <f t="shared" ref="AC250:AG250" si="1035">IF($L250&lt;=AC$8,1,0)</f>
        <v>1</v>
      </c>
      <c r="AD250" s="24">
        <f>ROUND(INDEX($C$2:$C$5,MATCH($E250,$B$2:$B$5,0))*$F250/SUMIFS($F:$F,$E:$E,$E250,$B:$B,$B250,AC:AC,1)*IF(B250=$B$10,0.9,1),0)</f>
        <v>4500</v>
      </c>
      <c r="AE250" s="24">
        <f t="shared" si="1035"/>
        <v>1</v>
      </c>
      <c r="AF250" s="24">
        <f>ROUND(INDEX($C$2:$C$5,MATCH($E250,$B$2:$B$5,0))*$G250/SUMIFS($G:$G,$E:$E,$E250,$B:$B,$B250,AE:AE,1)*IF(B250=$B$10,0.9,1),0)</f>
        <v>4500</v>
      </c>
      <c r="AG250" s="24">
        <f t="shared" si="1035"/>
        <v>1</v>
      </c>
      <c r="AH250" s="24">
        <f>ROUND(INDEX($C$2:$C$5,MATCH($E250,$B$2:$B$5,0))*$H250/SUMIFS($H:$H,$E:$E,$E250,$B:$B,$B250,AG:AG,1)*IF(B250=$B$10,0.9,1),0)</f>
        <v>4500</v>
      </c>
      <c r="AI250" s="24">
        <f t="shared" ref="AI250:AM250" si="1036">IF($L250&lt;=AI$8,1,0)</f>
        <v>1</v>
      </c>
      <c r="AJ250" s="24">
        <f>ROUND(INDEX($C$2:$C$5,MATCH($E250,$B$2:$B$5,0))*$F250/SUMIFS($F:$F,$E:$E,$E250,$B:$B,$B250,AI:AI,1)*IF(B250=$B$10,0.9,1),0)</f>
        <v>4500</v>
      </c>
      <c r="AK250" s="24">
        <f t="shared" si="1036"/>
        <v>1</v>
      </c>
      <c r="AL250" s="24">
        <f>ROUND(INDEX($C$2:$C$5,MATCH($E250,$B$2:$B$5,0))*$G250/SUMIFS($G:$G,$E:$E,$E250,$B:$B,$B250,AK:AK,1)*IF(B250=$B$10,0.9,1),0)</f>
        <v>4500</v>
      </c>
      <c r="AM250" s="24">
        <f t="shared" si="1036"/>
        <v>1</v>
      </c>
      <c r="AN250" s="24">
        <f>ROUND(INDEX($C$2:$C$5,MATCH($E250,$B$2:$B$5,0))*$H250/SUMIFS($H:$H,$E:$E,$E250,$B:$B,$B250,AM:AM,1)*IF(B250=$B$10,0.9,1),0)</f>
        <v>4500</v>
      </c>
      <c r="AX250" s="4" t="str">
        <f t="shared" si="830"/>
        <v>1,4500</v>
      </c>
      <c r="AY250" s="4" t="str">
        <f t="shared" si="831"/>
        <v>1,4500</v>
      </c>
      <c r="AZ250" s="4" t="str">
        <f t="shared" si="832"/>
        <v>1,4500</v>
      </c>
      <c r="BA250" s="4" t="str">
        <f t="shared" si="833"/>
        <v>1,4500</v>
      </c>
      <c r="BB250" s="4" t="str">
        <f t="shared" si="834"/>
        <v>1,4500</v>
      </c>
      <c r="BC250" s="4" t="str">
        <f t="shared" si="835"/>
        <v>1,4500</v>
      </c>
      <c r="BD250" s="4" t="str">
        <f t="shared" si="836"/>
        <v>1,4500</v>
      </c>
      <c r="BE250" s="4" t="str">
        <f t="shared" si="837"/>
        <v>1,4500</v>
      </c>
      <c r="BF250" s="4" t="str">
        <f t="shared" si="838"/>
        <v>1,4500</v>
      </c>
      <c r="BG250" s="4" t="str">
        <f t="shared" si="839"/>
        <v>1,4500</v>
      </c>
      <c r="BH250" s="4" t="str">
        <f t="shared" si="840"/>
        <v>1,4500</v>
      </c>
      <c r="BI250" s="4" t="str">
        <f t="shared" si="841"/>
        <v>1,4500</v>
      </c>
      <c r="BJ250" s="4" t="str">
        <f t="shared" si="842"/>
        <v>1,4500</v>
      </c>
    </row>
    <row r="251" customHeight="1" spans="1:62">
      <c r="A251" s="62">
        <v>1511</v>
      </c>
      <c r="B251" s="54" t="s">
        <v>114</v>
      </c>
      <c r="C251" s="64" t="s">
        <v>218</v>
      </c>
      <c r="D251" s="44" t="s">
        <v>362</v>
      </c>
      <c r="E251" s="66">
        <v>2</v>
      </c>
      <c r="F251" s="35">
        <v>1</v>
      </c>
      <c r="G251" s="35">
        <f t="shared" si="843"/>
        <v>1</v>
      </c>
      <c r="H251" s="35">
        <v>1</v>
      </c>
      <c r="I251" s="35">
        <v>1</v>
      </c>
      <c r="J251" s="35">
        <v>1</v>
      </c>
      <c r="K251" s="35">
        <v>1</v>
      </c>
      <c r="L251" s="35">
        <v>1</v>
      </c>
      <c r="M251" s="35"/>
      <c r="N251">
        <f t="shared" si="844"/>
        <v>4500</v>
      </c>
      <c r="O251" s="35">
        <v>1</v>
      </c>
      <c r="P251" s="24">
        <f>ROUND(INDEX($C$2:$C$5,MATCH($E251,$B$2:$B$5,0))*$F251/SUMIFS($F:$F,$E:$E,$E251,$B:$B,$B251,O:O,1)*IF(B251=$B$10,0.9,1),0)</f>
        <v>750</v>
      </c>
      <c r="Q251" s="24">
        <f t="shared" ref="Q251:U251" si="1037">IF($L251&lt;=Q$8,1,0)</f>
        <v>1</v>
      </c>
      <c r="R251" s="24">
        <f>ROUND(INDEX($C$2:$C$5,MATCH($E251,$B$2:$B$5,0))*$I251/SUMIFS($I:$I,$E:$E,$E251,$B:$B,$B251,Q:Q,1)*IF(B251=$B$10,0.9,1),0)</f>
        <v>900</v>
      </c>
      <c r="S251" s="24">
        <f t="shared" si="1037"/>
        <v>1</v>
      </c>
      <c r="T251" s="24">
        <f>ROUND(INDEX($C$2:$C$5,MATCH($E251,$B$2:$B$5,0))*$J251/SUMIFS($J:$J,$E:$E,$E251,$B:$B,$B251,S:S,1)*IF(B251=$B$10,0.9,1),0)</f>
        <v>900</v>
      </c>
      <c r="U251" s="24">
        <f t="shared" si="1037"/>
        <v>1</v>
      </c>
      <c r="V251" s="24">
        <f>ROUND(INDEX($C$2:$C$5,MATCH($E251,$B$2:$B$5,0))*$K251/SUMIFS($K:$K,$E:$E,$E251,$B:$B,$B251,U:U,1)*IF(B251=$B$10,0.9,1),0)</f>
        <v>900</v>
      </c>
      <c r="W251" s="24">
        <f t="shared" ref="W251:AA251" si="1038">IF($L251&lt;=W$8,1,0)</f>
        <v>1</v>
      </c>
      <c r="X251" s="24">
        <f>ROUND(INDEX($C$2:$C$5,MATCH($E251,$B$2:$B$5,0))*$F251/SUMIFS($F:$F,$E:$E,$E251,$B:$B,$B251,W:W,1)*IF(B251=$B$10,0.9,1),0)</f>
        <v>750</v>
      </c>
      <c r="Y251" s="24">
        <f t="shared" si="1038"/>
        <v>1</v>
      </c>
      <c r="Z251" s="24">
        <f>ROUND(INDEX($C$2:$C$5,MATCH($E251,$B$2:$B$5,0))*$G251/SUMIFS($G:$G,$E:$E,$E251,$B:$B,$B251,Y:Y,1)*IF(B251=$B$10,0.9,1),0)</f>
        <v>750</v>
      </c>
      <c r="AA251" s="24">
        <f t="shared" si="1038"/>
        <v>1</v>
      </c>
      <c r="AB251" s="24">
        <f>ROUND(INDEX($C$2:$C$5,MATCH($E251,$B$2:$B$5,0))*$H251/SUMIFS($H:$H,$E:$E,$E251,$B:$B,$B251,AA:AA,1)*IF(B251=$B$10,0.9,1),0)</f>
        <v>750</v>
      </c>
      <c r="AC251" s="24">
        <f t="shared" ref="AC251:AG251" si="1039">IF($L251&lt;=AC$8,1,0)</f>
        <v>1</v>
      </c>
      <c r="AD251" s="24">
        <f>ROUND(INDEX($C$2:$C$5,MATCH($E251,$B$2:$B$5,0))*$F251/SUMIFS($F:$F,$E:$E,$E251,$B:$B,$B251,AC:AC,1)*IF(B251=$B$10,0.9,1),0)</f>
        <v>750</v>
      </c>
      <c r="AE251" s="24">
        <f t="shared" si="1039"/>
        <v>1</v>
      </c>
      <c r="AF251" s="24">
        <f>ROUND(INDEX($C$2:$C$5,MATCH($E251,$B$2:$B$5,0))*$G251/SUMIFS($G:$G,$E:$E,$E251,$B:$B,$B251,AE:AE,1)*IF(B251=$B$10,0.9,1),0)</f>
        <v>750</v>
      </c>
      <c r="AG251" s="24">
        <f t="shared" si="1039"/>
        <v>1</v>
      </c>
      <c r="AH251" s="24">
        <f>ROUND(INDEX($C$2:$C$5,MATCH($E251,$B$2:$B$5,0))*$H251/SUMIFS($H:$H,$E:$E,$E251,$B:$B,$B251,AG:AG,1)*IF(B251=$B$10,0.9,1),0)</f>
        <v>750</v>
      </c>
      <c r="AI251" s="24">
        <f t="shared" ref="AI251:AM251" si="1040">IF($L251&lt;=AI$8,1,0)</f>
        <v>1</v>
      </c>
      <c r="AJ251" s="24">
        <f>ROUND(INDEX($C$2:$C$5,MATCH($E251,$B$2:$B$5,0))*$F251/SUMIFS($F:$F,$E:$E,$E251,$B:$B,$B251,AI:AI,1)*IF(B251=$B$10,0.9,1),0)</f>
        <v>750</v>
      </c>
      <c r="AK251" s="24">
        <f t="shared" si="1040"/>
        <v>1</v>
      </c>
      <c r="AL251" s="24">
        <f>ROUND(INDEX($C$2:$C$5,MATCH($E251,$B$2:$B$5,0))*$G251/SUMIFS($G:$G,$E:$E,$E251,$B:$B,$B251,AK:AK,1)*IF(B251=$B$10,0.9,1),0)</f>
        <v>750</v>
      </c>
      <c r="AM251" s="24">
        <f t="shared" si="1040"/>
        <v>1</v>
      </c>
      <c r="AN251" s="24">
        <f>ROUND(INDEX($C$2:$C$5,MATCH($E251,$B$2:$B$5,0))*$H251/SUMIFS($H:$H,$E:$E,$E251,$B:$B,$B251,AM:AM,1)*IF(B251=$B$10,0.9,1),0)</f>
        <v>750</v>
      </c>
      <c r="AX251" s="4" t="str">
        <f t="shared" si="830"/>
        <v>1,750</v>
      </c>
      <c r="AY251" s="4" t="str">
        <f t="shared" si="831"/>
        <v>1,900</v>
      </c>
      <c r="AZ251" s="4" t="str">
        <f t="shared" si="832"/>
        <v>1,900</v>
      </c>
      <c r="BA251" s="4" t="str">
        <f t="shared" si="833"/>
        <v>1,900</v>
      </c>
      <c r="BB251" s="4" t="str">
        <f t="shared" si="834"/>
        <v>1,750</v>
      </c>
      <c r="BC251" s="4" t="str">
        <f t="shared" si="835"/>
        <v>1,750</v>
      </c>
      <c r="BD251" s="4" t="str">
        <f t="shared" si="836"/>
        <v>1,750</v>
      </c>
      <c r="BE251" s="4" t="str">
        <f t="shared" si="837"/>
        <v>1,750</v>
      </c>
      <c r="BF251" s="4" t="str">
        <f t="shared" si="838"/>
        <v>1,750</v>
      </c>
      <c r="BG251" s="4" t="str">
        <f t="shared" si="839"/>
        <v>1,750</v>
      </c>
      <c r="BH251" s="4" t="str">
        <f t="shared" si="840"/>
        <v>1,750</v>
      </c>
      <c r="BI251" s="4" t="str">
        <f t="shared" si="841"/>
        <v>1,750</v>
      </c>
      <c r="BJ251" s="4" t="str">
        <f t="shared" si="842"/>
        <v>1,750</v>
      </c>
    </row>
    <row r="252" customHeight="1" spans="1:62">
      <c r="A252" s="62">
        <v>1512</v>
      </c>
      <c r="B252" s="54" t="s">
        <v>114</v>
      </c>
      <c r="C252" s="64" t="s">
        <v>218</v>
      </c>
      <c r="D252" s="44" t="s">
        <v>363</v>
      </c>
      <c r="E252" s="66">
        <v>2</v>
      </c>
      <c r="F252" s="35">
        <v>1</v>
      </c>
      <c r="G252" s="35">
        <f t="shared" si="843"/>
        <v>1</v>
      </c>
      <c r="H252" s="35">
        <v>1</v>
      </c>
      <c r="I252" s="35">
        <v>1</v>
      </c>
      <c r="J252" s="35">
        <v>1</v>
      </c>
      <c r="K252" s="35">
        <v>1</v>
      </c>
      <c r="L252" s="35">
        <v>1</v>
      </c>
      <c r="M252" s="35"/>
      <c r="N252">
        <f t="shared" si="844"/>
        <v>4500</v>
      </c>
      <c r="O252" s="35">
        <v>1</v>
      </c>
      <c r="P252" s="24">
        <f>ROUND(INDEX($C$2:$C$5,MATCH($E252,$B$2:$B$5,0))*$F252/SUMIFS($F:$F,$E:$E,$E252,$B:$B,$B252,O:O,1)*IF(B252=$B$10,0.9,1),0)</f>
        <v>750</v>
      </c>
      <c r="Q252" s="24">
        <f t="shared" ref="Q252:U252" si="1041">IF($L252&lt;=Q$8,1,0)</f>
        <v>1</v>
      </c>
      <c r="R252" s="24">
        <f>ROUND(INDEX($C$2:$C$5,MATCH($E252,$B$2:$B$5,0))*$I252/SUMIFS($I:$I,$E:$E,$E252,$B:$B,$B252,Q:Q,1)*IF(B252=$B$10,0.9,1),0)</f>
        <v>900</v>
      </c>
      <c r="S252" s="24">
        <f t="shared" si="1041"/>
        <v>1</v>
      </c>
      <c r="T252" s="24">
        <f>ROUND(INDEX($C$2:$C$5,MATCH($E252,$B$2:$B$5,0))*$J252/SUMIFS($J:$J,$E:$E,$E252,$B:$B,$B252,S:S,1)*IF(B252=$B$10,0.9,1),0)</f>
        <v>900</v>
      </c>
      <c r="U252" s="24">
        <f t="shared" si="1041"/>
        <v>1</v>
      </c>
      <c r="V252" s="24">
        <f>ROUND(INDEX($C$2:$C$5,MATCH($E252,$B$2:$B$5,0))*$K252/SUMIFS($K:$K,$E:$E,$E252,$B:$B,$B252,U:U,1)*IF(B252=$B$10,0.9,1),0)</f>
        <v>900</v>
      </c>
      <c r="W252" s="24">
        <f t="shared" ref="W252:AA252" si="1042">IF($L252&lt;=W$8,1,0)</f>
        <v>1</v>
      </c>
      <c r="X252" s="24">
        <f>ROUND(INDEX($C$2:$C$5,MATCH($E252,$B$2:$B$5,0))*$F252/SUMIFS($F:$F,$E:$E,$E252,$B:$B,$B252,W:W,1)*IF(B252=$B$10,0.9,1),0)</f>
        <v>750</v>
      </c>
      <c r="Y252" s="24">
        <f t="shared" si="1042"/>
        <v>1</v>
      </c>
      <c r="Z252" s="24">
        <f>ROUND(INDEX($C$2:$C$5,MATCH($E252,$B$2:$B$5,0))*$G252/SUMIFS($G:$G,$E:$E,$E252,$B:$B,$B252,Y:Y,1)*IF(B252=$B$10,0.9,1),0)</f>
        <v>750</v>
      </c>
      <c r="AA252" s="24">
        <f t="shared" si="1042"/>
        <v>1</v>
      </c>
      <c r="AB252" s="24">
        <f>ROUND(INDEX($C$2:$C$5,MATCH($E252,$B$2:$B$5,0))*$H252/SUMIFS($H:$H,$E:$E,$E252,$B:$B,$B252,AA:AA,1)*IF(B252=$B$10,0.9,1),0)</f>
        <v>750</v>
      </c>
      <c r="AC252" s="24">
        <f t="shared" ref="AC252:AG252" si="1043">IF($L252&lt;=AC$8,1,0)</f>
        <v>1</v>
      </c>
      <c r="AD252" s="24">
        <f>ROUND(INDEX($C$2:$C$5,MATCH($E252,$B$2:$B$5,0))*$F252/SUMIFS($F:$F,$E:$E,$E252,$B:$B,$B252,AC:AC,1)*IF(B252=$B$10,0.9,1),0)</f>
        <v>750</v>
      </c>
      <c r="AE252" s="24">
        <f t="shared" si="1043"/>
        <v>1</v>
      </c>
      <c r="AF252" s="24">
        <f>ROUND(INDEX($C$2:$C$5,MATCH($E252,$B$2:$B$5,0))*$G252/SUMIFS($G:$G,$E:$E,$E252,$B:$B,$B252,AE:AE,1)*IF(B252=$B$10,0.9,1),0)</f>
        <v>750</v>
      </c>
      <c r="AG252" s="24">
        <f t="shared" si="1043"/>
        <v>1</v>
      </c>
      <c r="AH252" s="24">
        <f>ROUND(INDEX($C$2:$C$5,MATCH($E252,$B$2:$B$5,0))*$H252/SUMIFS($H:$H,$E:$E,$E252,$B:$B,$B252,AG:AG,1)*IF(B252=$B$10,0.9,1),0)</f>
        <v>750</v>
      </c>
      <c r="AI252" s="24">
        <f t="shared" ref="AI252:AM252" si="1044">IF($L252&lt;=AI$8,1,0)</f>
        <v>1</v>
      </c>
      <c r="AJ252" s="24">
        <f>ROUND(INDEX($C$2:$C$5,MATCH($E252,$B$2:$B$5,0))*$F252/SUMIFS($F:$F,$E:$E,$E252,$B:$B,$B252,AI:AI,1)*IF(B252=$B$10,0.9,1),0)</f>
        <v>750</v>
      </c>
      <c r="AK252" s="24">
        <f t="shared" si="1044"/>
        <v>1</v>
      </c>
      <c r="AL252" s="24">
        <f>ROUND(INDEX($C$2:$C$5,MATCH($E252,$B$2:$B$5,0))*$G252/SUMIFS($G:$G,$E:$E,$E252,$B:$B,$B252,AK:AK,1)*IF(B252=$B$10,0.9,1),0)</f>
        <v>750</v>
      </c>
      <c r="AM252" s="24">
        <f t="shared" si="1044"/>
        <v>1</v>
      </c>
      <c r="AN252" s="24">
        <f>ROUND(INDEX($C$2:$C$5,MATCH($E252,$B$2:$B$5,0))*$H252/SUMIFS($H:$H,$E:$E,$E252,$B:$B,$B252,AM:AM,1)*IF(B252=$B$10,0.9,1),0)</f>
        <v>750</v>
      </c>
      <c r="AX252" s="4" t="str">
        <f t="shared" si="830"/>
        <v>1,750</v>
      </c>
      <c r="AY252" s="4" t="str">
        <f t="shared" si="831"/>
        <v>1,900</v>
      </c>
      <c r="AZ252" s="4" t="str">
        <f t="shared" si="832"/>
        <v>1,900</v>
      </c>
      <c r="BA252" s="4" t="str">
        <f t="shared" si="833"/>
        <v>1,900</v>
      </c>
      <c r="BB252" s="4" t="str">
        <f t="shared" si="834"/>
        <v>1,750</v>
      </c>
      <c r="BC252" s="4" t="str">
        <f t="shared" si="835"/>
        <v>1,750</v>
      </c>
      <c r="BD252" s="4" t="str">
        <f t="shared" si="836"/>
        <v>1,750</v>
      </c>
      <c r="BE252" s="4" t="str">
        <f t="shared" si="837"/>
        <v>1,750</v>
      </c>
      <c r="BF252" s="4" t="str">
        <f t="shared" si="838"/>
        <v>1,750</v>
      </c>
      <c r="BG252" s="4" t="str">
        <f t="shared" si="839"/>
        <v>1,750</v>
      </c>
      <c r="BH252" s="4" t="str">
        <f t="shared" si="840"/>
        <v>1,750</v>
      </c>
      <c r="BI252" s="4" t="str">
        <f t="shared" si="841"/>
        <v>1,750</v>
      </c>
      <c r="BJ252" s="4" t="str">
        <f t="shared" si="842"/>
        <v>1,750</v>
      </c>
    </row>
    <row r="253" customHeight="1" spans="1:62">
      <c r="A253" s="62">
        <v>1513</v>
      </c>
      <c r="B253" s="54" t="s">
        <v>114</v>
      </c>
      <c r="C253" s="64" t="s">
        <v>218</v>
      </c>
      <c r="D253" s="44" t="s">
        <v>364</v>
      </c>
      <c r="E253" s="67">
        <v>2</v>
      </c>
      <c r="F253" s="35">
        <v>1</v>
      </c>
      <c r="G253" s="35">
        <f t="shared" si="843"/>
        <v>1</v>
      </c>
      <c r="H253" s="35">
        <v>1</v>
      </c>
      <c r="I253" s="35">
        <v>1</v>
      </c>
      <c r="J253" s="35">
        <v>1</v>
      </c>
      <c r="K253" s="35">
        <v>1</v>
      </c>
      <c r="L253" s="35">
        <v>1</v>
      </c>
      <c r="M253" s="35"/>
      <c r="N253">
        <f t="shared" si="844"/>
        <v>4500</v>
      </c>
      <c r="O253" s="35">
        <v>1</v>
      </c>
      <c r="P253" s="24">
        <f>ROUND(INDEX($C$2:$C$5,MATCH($E253,$B$2:$B$5,0))*$F253/SUMIFS($F:$F,$E:$E,$E253,$B:$B,$B253,O:O,1)*IF(B253=$B$10,0.9,1),0)</f>
        <v>750</v>
      </c>
      <c r="Q253" s="24">
        <f t="shared" ref="Q253:U253" si="1045">IF($L253&lt;=Q$8,1,0)</f>
        <v>1</v>
      </c>
      <c r="R253" s="24">
        <f>ROUND(INDEX($C$2:$C$5,MATCH($E253,$B$2:$B$5,0))*$I253/SUMIFS($I:$I,$E:$E,$E253,$B:$B,$B253,Q:Q,1)*IF(B253=$B$10,0.9,1),0)</f>
        <v>900</v>
      </c>
      <c r="S253" s="24">
        <f t="shared" si="1045"/>
        <v>1</v>
      </c>
      <c r="T253" s="24">
        <f>ROUND(INDEX($C$2:$C$5,MATCH($E253,$B$2:$B$5,0))*$J253/SUMIFS($J:$J,$E:$E,$E253,$B:$B,$B253,S:S,1)*IF(B253=$B$10,0.9,1),0)</f>
        <v>900</v>
      </c>
      <c r="U253" s="24">
        <f t="shared" si="1045"/>
        <v>1</v>
      </c>
      <c r="V253" s="24">
        <f>ROUND(INDEX($C$2:$C$5,MATCH($E253,$B$2:$B$5,0))*$K253/SUMIFS($K:$K,$E:$E,$E253,$B:$B,$B253,U:U,1)*IF(B253=$B$10,0.9,1),0)</f>
        <v>900</v>
      </c>
      <c r="W253" s="24">
        <f t="shared" ref="W253:AA253" si="1046">IF($L253&lt;=W$8,1,0)</f>
        <v>1</v>
      </c>
      <c r="X253" s="24">
        <f>ROUND(INDEX($C$2:$C$5,MATCH($E253,$B$2:$B$5,0))*$F253/SUMIFS($F:$F,$E:$E,$E253,$B:$B,$B253,W:W,1)*IF(B253=$B$10,0.9,1),0)</f>
        <v>750</v>
      </c>
      <c r="Y253" s="24">
        <f t="shared" si="1046"/>
        <v>1</v>
      </c>
      <c r="Z253" s="24">
        <f>ROUND(INDEX($C$2:$C$5,MATCH($E253,$B$2:$B$5,0))*$G253/SUMIFS($G:$G,$E:$E,$E253,$B:$B,$B253,Y:Y,1)*IF(B253=$B$10,0.9,1),0)</f>
        <v>750</v>
      </c>
      <c r="AA253" s="24">
        <f t="shared" si="1046"/>
        <v>1</v>
      </c>
      <c r="AB253" s="24">
        <f>ROUND(INDEX($C$2:$C$5,MATCH($E253,$B$2:$B$5,0))*$H253/SUMIFS($H:$H,$E:$E,$E253,$B:$B,$B253,AA:AA,1)*IF(B253=$B$10,0.9,1),0)</f>
        <v>750</v>
      </c>
      <c r="AC253" s="24">
        <f t="shared" ref="AC253:AG253" si="1047">IF($L253&lt;=AC$8,1,0)</f>
        <v>1</v>
      </c>
      <c r="AD253" s="24">
        <f>ROUND(INDEX($C$2:$C$5,MATCH($E253,$B$2:$B$5,0))*$F253/SUMIFS($F:$F,$E:$E,$E253,$B:$B,$B253,AC:AC,1)*IF(B253=$B$10,0.9,1),0)</f>
        <v>750</v>
      </c>
      <c r="AE253" s="24">
        <f t="shared" si="1047"/>
        <v>1</v>
      </c>
      <c r="AF253" s="24">
        <f>ROUND(INDEX($C$2:$C$5,MATCH($E253,$B$2:$B$5,0))*$G253/SUMIFS($G:$G,$E:$E,$E253,$B:$B,$B253,AE:AE,1)*IF(B253=$B$10,0.9,1),0)</f>
        <v>750</v>
      </c>
      <c r="AG253" s="24">
        <f t="shared" si="1047"/>
        <v>1</v>
      </c>
      <c r="AH253" s="24">
        <f>ROUND(INDEX($C$2:$C$5,MATCH($E253,$B$2:$B$5,0))*$H253/SUMIFS($H:$H,$E:$E,$E253,$B:$B,$B253,AG:AG,1)*IF(B253=$B$10,0.9,1),0)</f>
        <v>750</v>
      </c>
      <c r="AI253" s="24">
        <f t="shared" ref="AI253:AM253" si="1048">IF($L253&lt;=AI$8,1,0)</f>
        <v>1</v>
      </c>
      <c r="AJ253" s="24">
        <f>ROUND(INDEX($C$2:$C$5,MATCH($E253,$B$2:$B$5,0))*$F253/SUMIFS($F:$F,$E:$E,$E253,$B:$B,$B253,AI:AI,1)*IF(B253=$B$10,0.9,1),0)</f>
        <v>750</v>
      </c>
      <c r="AK253" s="24">
        <f t="shared" si="1048"/>
        <v>1</v>
      </c>
      <c r="AL253" s="24">
        <f>ROUND(INDEX($C$2:$C$5,MATCH($E253,$B$2:$B$5,0))*$G253/SUMIFS($G:$G,$E:$E,$E253,$B:$B,$B253,AK:AK,1)*IF(B253=$B$10,0.9,1),0)</f>
        <v>750</v>
      </c>
      <c r="AM253" s="24">
        <f t="shared" si="1048"/>
        <v>1</v>
      </c>
      <c r="AN253" s="24">
        <f>ROUND(INDEX($C$2:$C$5,MATCH($E253,$B$2:$B$5,0))*$H253/SUMIFS($H:$H,$E:$E,$E253,$B:$B,$B253,AM:AM,1)*IF(B253=$B$10,0.9,1),0)</f>
        <v>750</v>
      </c>
      <c r="AX253" s="4" t="str">
        <f t="shared" si="830"/>
        <v>1,750</v>
      </c>
      <c r="AY253" s="4" t="str">
        <f t="shared" si="831"/>
        <v>1,900</v>
      </c>
      <c r="AZ253" s="4" t="str">
        <f t="shared" si="832"/>
        <v>1,900</v>
      </c>
      <c r="BA253" s="4" t="str">
        <f t="shared" si="833"/>
        <v>1,900</v>
      </c>
      <c r="BB253" s="4" t="str">
        <f t="shared" si="834"/>
        <v>1,750</v>
      </c>
      <c r="BC253" s="4" t="str">
        <f t="shared" si="835"/>
        <v>1,750</v>
      </c>
      <c r="BD253" s="4" t="str">
        <f t="shared" si="836"/>
        <v>1,750</v>
      </c>
      <c r="BE253" s="4" t="str">
        <f t="shared" si="837"/>
        <v>1,750</v>
      </c>
      <c r="BF253" s="4" t="str">
        <f t="shared" si="838"/>
        <v>1,750</v>
      </c>
      <c r="BG253" s="4" t="str">
        <f t="shared" si="839"/>
        <v>1,750</v>
      </c>
      <c r="BH253" s="4" t="str">
        <f t="shared" si="840"/>
        <v>1,750</v>
      </c>
      <c r="BI253" s="4" t="str">
        <f t="shared" si="841"/>
        <v>1,750</v>
      </c>
      <c r="BJ253" s="4" t="str">
        <f t="shared" si="842"/>
        <v>1,750</v>
      </c>
    </row>
    <row r="254" customHeight="1" spans="1:62">
      <c r="A254" s="62">
        <v>1514</v>
      </c>
      <c r="B254" s="54" t="s">
        <v>114</v>
      </c>
      <c r="C254" s="64" t="s">
        <v>218</v>
      </c>
      <c r="D254" s="44" t="s">
        <v>365</v>
      </c>
      <c r="E254" s="67">
        <v>2</v>
      </c>
      <c r="F254" s="35">
        <v>1</v>
      </c>
      <c r="G254" s="35">
        <f t="shared" si="843"/>
        <v>1</v>
      </c>
      <c r="H254" s="35">
        <v>1</v>
      </c>
      <c r="I254" s="35">
        <v>1</v>
      </c>
      <c r="J254" s="35">
        <v>1</v>
      </c>
      <c r="K254" s="35">
        <v>1</v>
      </c>
      <c r="L254" s="35">
        <v>1</v>
      </c>
      <c r="M254" s="35"/>
      <c r="N254">
        <f t="shared" si="844"/>
        <v>4500</v>
      </c>
      <c r="O254" s="35">
        <v>1</v>
      </c>
      <c r="P254" s="24">
        <f>ROUND(INDEX($C$2:$C$5,MATCH($E254,$B$2:$B$5,0))*$F254/SUMIFS($F:$F,$E:$E,$E254,$B:$B,$B254,O:O,1)*IF(B254=$B$10,0.9,1),0)</f>
        <v>750</v>
      </c>
      <c r="Q254" s="24">
        <f t="shared" ref="Q254:U254" si="1049">IF($L254&lt;=Q$8,1,0)</f>
        <v>1</v>
      </c>
      <c r="R254" s="24">
        <f>ROUND(INDEX($C$2:$C$5,MATCH($E254,$B$2:$B$5,0))*$I254/SUMIFS($I:$I,$E:$E,$E254,$B:$B,$B254,Q:Q,1)*IF(B254=$B$10,0.9,1),0)</f>
        <v>900</v>
      </c>
      <c r="S254" s="24">
        <f t="shared" si="1049"/>
        <v>1</v>
      </c>
      <c r="T254" s="24">
        <f>ROUND(INDEX($C$2:$C$5,MATCH($E254,$B$2:$B$5,0))*$J254/SUMIFS($J:$J,$E:$E,$E254,$B:$B,$B254,S:S,1)*IF(B254=$B$10,0.9,1),0)</f>
        <v>900</v>
      </c>
      <c r="U254" s="24">
        <f t="shared" si="1049"/>
        <v>1</v>
      </c>
      <c r="V254" s="24">
        <f>ROUND(INDEX($C$2:$C$5,MATCH($E254,$B$2:$B$5,0))*$K254/SUMIFS($K:$K,$E:$E,$E254,$B:$B,$B254,U:U,1)*IF(B254=$B$10,0.9,1),0)</f>
        <v>900</v>
      </c>
      <c r="W254" s="24">
        <f t="shared" ref="W254:AA254" si="1050">IF($L254&lt;=W$8,1,0)</f>
        <v>1</v>
      </c>
      <c r="X254" s="24">
        <f>ROUND(INDEX($C$2:$C$5,MATCH($E254,$B$2:$B$5,0))*$F254/SUMIFS($F:$F,$E:$E,$E254,$B:$B,$B254,W:W,1)*IF(B254=$B$10,0.9,1),0)</f>
        <v>750</v>
      </c>
      <c r="Y254" s="24">
        <f t="shared" si="1050"/>
        <v>1</v>
      </c>
      <c r="Z254" s="24">
        <f>ROUND(INDEX($C$2:$C$5,MATCH($E254,$B$2:$B$5,0))*$G254/SUMIFS($G:$G,$E:$E,$E254,$B:$B,$B254,Y:Y,1)*IF(B254=$B$10,0.9,1),0)</f>
        <v>750</v>
      </c>
      <c r="AA254" s="24">
        <f t="shared" si="1050"/>
        <v>1</v>
      </c>
      <c r="AB254" s="24">
        <f>ROUND(INDEX($C$2:$C$5,MATCH($E254,$B$2:$B$5,0))*$H254/SUMIFS($H:$H,$E:$E,$E254,$B:$B,$B254,AA:AA,1)*IF(B254=$B$10,0.9,1),0)</f>
        <v>750</v>
      </c>
      <c r="AC254" s="24">
        <f t="shared" ref="AC254:AG254" si="1051">IF($L254&lt;=AC$8,1,0)</f>
        <v>1</v>
      </c>
      <c r="AD254" s="24">
        <f>ROUND(INDEX($C$2:$C$5,MATCH($E254,$B$2:$B$5,0))*$F254/SUMIFS($F:$F,$E:$E,$E254,$B:$B,$B254,AC:AC,1)*IF(B254=$B$10,0.9,1),0)</f>
        <v>750</v>
      </c>
      <c r="AE254" s="24">
        <f t="shared" si="1051"/>
        <v>1</v>
      </c>
      <c r="AF254" s="24">
        <f>ROUND(INDEX($C$2:$C$5,MATCH($E254,$B$2:$B$5,0))*$G254/SUMIFS($G:$G,$E:$E,$E254,$B:$B,$B254,AE:AE,1)*IF(B254=$B$10,0.9,1),0)</f>
        <v>750</v>
      </c>
      <c r="AG254" s="24">
        <f t="shared" si="1051"/>
        <v>1</v>
      </c>
      <c r="AH254" s="24">
        <f>ROUND(INDEX($C$2:$C$5,MATCH($E254,$B$2:$B$5,0))*$H254/SUMIFS($H:$H,$E:$E,$E254,$B:$B,$B254,AG:AG,1)*IF(B254=$B$10,0.9,1),0)</f>
        <v>750</v>
      </c>
      <c r="AI254" s="24">
        <f t="shared" ref="AI254:AM254" si="1052">IF($L254&lt;=AI$8,1,0)</f>
        <v>1</v>
      </c>
      <c r="AJ254" s="24">
        <f>ROUND(INDEX($C$2:$C$5,MATCH($E254,$B$2:$B$5,0))*$F254/SUMIFS($F:$F,$E:$E,$E254,$B:$B,$B254,AI:AI,1)*IF(B254=$B$10,0.9,1),0)</f>
        <v>750</v>
      </c>
      <c r="AK254" s="24">
        <f t="shared" si="1052"/>
        <v>1</v>
      </c>
      <c r="AL254" s="24">
        <f>ROUND(INDEX($C$2:$C$5,MATCH($E254,$B$2:$B$5,0))*$G254/SUMIFS($G:$G,$E:$E,$E254,$B:$B,$B254,AK:AK,1)*IF(B254=$B$10,0.9,1),0)</f>
        <v>750</v>
      </c>
      <c r="AM254" s="24">
        <f t="shared" si="1052"/>
        <v>1</v>
      </c>
      <c r="AN254" s="24">
        <f>ROUND(INDEX($C$2:$C$5,MATCH($E254,$B$2:$B$5,0))*$H254/SUMIFS($H:$H,$E:$E,$E254,$B:$B,$B254,AM:AM,1)*IF(B254=$B$10,0.9,1),0)</f>
        <v>750</v>
      </c>
      <c r="AX254" s="4" t="str">
        <f t="shared" si="830"/>
        <v>1,750</v>
      </c>
      <c r="AY254" s="4" t="str">
        <f t="shared" si="831"/>
        <v>1,900</v>
      </c>
      <c r="AZ254" s="4" t="str">
        <f t="shared" si="832"/>
        <v>1,900</v>
      </c>
      <c r="BA254" s="4" t="str">
        <f t="shared" si="833"/>
        <v>1,900</v>
      </c>
      <c r="BB254" s="4" t="str">
        <f t="shared" si="834"/>
        <v>1,750</v>
      </c>
      <c r="BC254" s="4" t="str">
        <f t="shared" si="835"/>
        <v>1,750</v>
      </c>
      <c r="BD254" s="4" t="str">
        <f t="shared" si="836"/>
        <v>1,750</v>
      </c>
      <c r="BE254" s="4" t="str">
        <f t="shared" si="837"/>
        <v>1,750</v>
      </c>
      <c r="BF254" s="4" t="str">
        <f t="shared" si="838"/>
        <v>1,750</v>
      </c>
      <c r="BG254" s="4" t="str">
        <f t="shared" si="839"/>
        <v>1,750</v>
      </c>
      <c r="BH254" s="4" t="str">
        <f t="shared" si="840"/>
        <v>1,750</v>
      </c>
      <c r="BI254" s="4" t="str">
        <f t="shared" si="841"/>
        <v>1,750</v>
      </c>
      <c r="BJ254" s="4" t="str">
        <f t="shared" si="842"/>
        <v>1,750</v>
      </c>
    </row>
    <row r="255" customHeight="1" spans="1:62">
      <c r="A255" s="62">
        <v>1521</v>
      </c>
      <c r="B255" s="55" t="s">
        <v>114</v>
      </c>
      <c r="C255" s="64"/>
      <c r="D255" s="46" t="s">
        <v>366</v>
      </c>
      <c r="E255" s="62">
        <v>3</v>
      </c>
      <c r="F255" s="35">
        <v>1</v>
      </c>
      <c r="G255" s="35">
        <f t="shared" si="843"/>
        <v>1</v>
      </c>
      <c r="H255" s="35">
        <v>1</v>
      </c>
      <c r="I255" s="35">
        <v>1</v>
      </c>
      <c r="J255" s="35">
        <v>1</v>
      </c>
      <c r="K255" s="35">
        <v>1</v>
      </c>
      <c r="L255" s="35">
        <v>1</v>
      </c>
      <c r="M255" s="35"/>
      <c r="N255">
        <f t="shared" si="844"/>
        <v>1500</v>
      </c>
      <c r="O255" s="35">
        <v>1</v>
      </c>
      <c r="P255" s="24">
        <f>ROUND(INDEX($C$2:$C$5,MATCH($E255,$B$2:$B$5,0))*$F255/SUMIFS($F:$F,$E:$E,$E255,$B:$B,$B255,O:O,1)*IF(B255=$B$10,0.9,1),0)</f>
        <v>250</v>
      </c>
      <c r="Q255" s="24">
        <f t="shared" ref="Q255:U255" si="1053">IF($L255&lt;=Q$8,1,0)</f>
        <v>1</v>
      </c>
      <c r="R255" s="24">
        <f>ROUND(INDEX($C$2:$C$5,MATCH($E255,$B$2:$B$5,0))*$I255/SUMIFS($I:$I,$E:$E,$E255,$B:$B,$B255,Q:Q,1)*IF(B255=$B$10,0.9,1),0)</f>
        <v>300</v>
      </c>
      <c r="S255" s="24">
        <f t="shared" si="1053"/>
        <v>1</v>
      </c>
      <c r="T255" s="24">
        <f>ROUND(INDEX($C$2:$C$5,MATCH($E255,$B$2:$B$5,0))*$J255/SUMIFS($J:$J,$E:$E,$E255,$B:$B,$B255,S:S,1)*IF(B255=$B$10,0.9,1),0)</f>
        <v>300</v>
      </c>
      <c r="U255" s="24">
        <f t="shared" si="1053"/>
        <v>1</v>
      </c>
      <c r="V255" s="24">
        <f>ROUND(INDEX($C$2:$C$5,MATCH($E255,$B$2:$B$5,0))*$K255/SUMIFS($K:$K,$E:$E,$E255,$B:$B,$B255,U:U,1)*IF(B255=$B$10,0.9,1),0)</f>
        <v>300</v>
      </c>
      <c r="W255" s="24">
        <f t="shared" ref="W255:AA255" si="1054">IF($L255&lt;=W$8,1,0)</f>
        <v>1</v>
      </c>
      <c r="X255" s="24">
        <f>ROUND(INDEX($C$2:$C$5,MATCH($E255,$B$2:$B$5,0))*$F255/SUMIFS($F:$F,$E:$E,$E255,$B:$B,$B255,W:W,1)*IF(B255=$B$10,0.9,1),0)</f>
        <v>250</v>
      </c>
      <c r="Y255" s="24">
        <f t="shared" si="1054"/>
        <v>1</v>
      </c>
      <c r="Z255" s="24">
        <f>ROUND(INDEX($C$2:$C$5,MATCH($E255,$B$2:$B$5,0))*$G255/SUMIFS($G:$G,$E:$E,$E255,$B:$B,$B255,Y:Y,1)*IF(B255=$B$10,0.9,1),0)</f>
        <v>250</v>
      </c>
      <c r="AA255" s="24">
        <f t="shared" si="1054"/>
        <v>1</v>
      </c>
      <c r="AB255" s="24">
        <f>ROUND(INDEX($C$2:$C$5,MATCH($E255,$B$2:$B$5,0))*$H255/SUMIFS($H:$H,$E:$E,$E255,$B:$B,$B255,AA:AA,1)*IF(B255=$B$10,0.9,1),0)</f>
        <v>250</v>
      </c>
      <c r="AC255" s="24">
        <f t="shared" ref="AC255:AG255" si="1055">IF($L255&lt;=AC$8,1,0)</f>
        <v>1</v>
      </c>
      <c r="AD255" s="24">
        <f>ROUND(INDEX($C$2:$C$5,MATCH($E255,$B$2:$B$5,0))*$F255/SUMIFS($F:$F,$E:$E,$E255,$B:$B,$B255,AC:AC,1)*IF(B255=$B$10,0.9,1),0)</f>
        <v>250</v>
      </c>
      <c r="AE255" s="24">
        <f t="shared" si="1055"/>
        <v>1</v>
      </c>
      <c r="AF255" s="24">
        <f>ROUND(INDEX($C$2:$C$5,MATCH($E255,$B$2:$B$5,0))*$G255/SUMIFS($G:$G,$E:$E,$E255,$B:$B,$B255,AE:AE,1)*IF(B255=$B$10,0.9,1),0)</f>
        <v>250</v>
      </c>
      <c r="AG255" s="24">
        <f t="shared" si="1055"/>
        <v>1</v>
      </c>
      <c r="AH255" s="24">
        <f>ROUND(INDEX($C$2:$C$5,MATCH($E255,$B$2:$B$5,0))*$H255/SUMIFS($H:$H,$E:$E,$E255,$B:$B,$B255,AG:AG,1)*IF(B255=$B$10,0.9,1),0)</f>
        <v>250</v>
      </c>
      <c r="AI255" s="24">
        <f t="shared" ref="AI255:AM255" si="1056">IF($L255&lt;=AI$8,1,0)</f>
        <v>1</v>
      </c>
      <c r="AJ255" s="24">
        <f>ROUND(INDEX($C$2:$C$5,MATCH($E255,$B$2:$B$5,0))*$F255/SUMIFS($F:$F,$E:$E,$E255,$B:$B,$B255,AI:AI,1)*IF(B255=$B$10,0.9,1),0)</f>
        <v>250</v>
      </c>
      <c r="AK255" s="24">
        <f t="shared" si="1056"/>
        <v>1</v>
      </c>
      <c r="AL255" s="24">
        <f>ROUND(INDEX($C$2:$C$5,MATCH($E255,$B$2:$B$5,0))*$G255/SUMIFS($G:$G,$E:$E,$E255,$B:$B,$B255,AK:AK,1)*IF(B255=$B$10,0.9,1),0)</f>
        <v>250</v>
      </c>
      <c r="AM255" s="24">
        <f t="shared" si="1056"/>
        <v>1</v>
      </c>
      <c r="AN255" s="24">
        <f>ROUND(INDEX($C$2:$C$5,MATCH($E255,$B$2:$B$5,0))*$H255/SUMIFS($H:$H,$E:$E,$E255,$B:$B,$B255,AM:AM,1)*IF(B255=$B$10,0.9,1),0)</f>
        <v>250</v>
      </c>
      <c r="AX255" s="4" t="str">
        <f t="shared" si="830"/>
        <v>1,250</v>
      </c>
      <c r="AY255" s="4" t="str">
        <f t="shared" si="831"/>
        <v>1,300</v>
      </c>
      <c r="AZ255" s="4" t="str">
        <f t="shared" si="832"/>
        <v>1,300</v>
      </c>
      <c r="BA255" s="4" t="str">
        <f t="shared" si="833"/>
        <v>1,300</v>
      </c>
      <c r="BB255" s="4" t="str">
        <f t="shared" si="834"/>
        <v>1,250</v>
      </c>
      <c r="BC255" s="4" t="str">
        <f t="shared" si="835"/>
        <v>1,250</v>
      </c>
      <c r="BD255" s="4" t="str">
        <f t="shared" si="836"/>
        <v>1,250</v>
      </c>
      <c r="BE255" s="4" t="str">
        <f t="shared" si="837"/>
        <v>1,250</v>
      </c>
      <c r="BF255" s="4" t="str">
        <f t="shared" si="838"/>
        <v>1,250</v>
      </c>
      <c r="BG255" s="4" t="str">
        <f t="shared" si="839"/>
        <v>1,250</v>
      </c>
      <c r="BH255" s="4" t="str">
        <f t="shared" si="840"/>
        <v>1,250</v>
      </c>
      <c r="BI255" s="4" t="str">
        <f t="shared" si="841"/>
        <v>1,250</v>
      </c>
      <c r="BJ255" s="4" t="str">
        <f t="shared" si="842"/>
        <v>1,250</v>
      </c>
    </row>
    <row r="256" customHeight="1" spans="1:62">
      <c r="A256" s="62">
        <v>1522</v>
      </c>
      <c r="B256" s="55" t="s">
        <v>114</v>
      </c>
      <c r="C256" s="64"/>
      <c r="D256" s="46" t="s">
        <v>367</v>
      </c>
      <c r="E256" s="65">
        <v>3</v>
      </c>
      <c r="F256" s="35">
        <v>1</v>
      </c>
      <c r="G256" s="35">
        <f t="shared" si="843"/>
        <v>1</v>
      </c>
      <c r="H256" s="35">
        <v>1</v>
      </c>
      <c r="I256" s="35">
        <v>1</v>
      </c>
      <c r="J256" s="35">
        <v>1</v>
      </c>
      <c r="K256" s="35">
        <v>1</v>
      </c>
      <c r="L256" s="35">
        <v>1</v>
      </c>
      <c r="M256" s="35"/>
      <c r="N256">
        <f t="shared" si="844"/>
        <v>1500</v>
      </c>
      <c r="O256" s="35">
        <v>1</v>
      </c>
      <c r="P256" s="24">
        <f>ROUND(INDEX($C$2:$C$5,MATCH($E256,$B$2:$B$5,0))*$F256/SUMIFS($F:$F,$E:$E,$E256,$B:$B,$B256,O:O,1)*IF(B256=$B$10,0.9,1),0)</f>
        <v>250</v>
      </c>
      <c r="Q256" s="24">
        <f t="shared" ref="Q256:U256" si="1057">IF($L256&lt;=Q$8,1,0)</f>
        <v>1</v>
      </c>
      <c r="R256" s="24">
        <f>ROUND(INDEX($C$2:$C$5,MATCH($E256,$B$2:$B$5,0))*$I256/SUMIFS($I:$I,$E:$E,$E256,$B:$B,$B256,Q:Q,1)*IF(B256=$B$10,0.9,1),0)</f>
        <v>300</v>
      </c>
      <c r="S256" s="24">
        <f t="shared" si="1057"/>
        <v>1</v>
      </c>
      <c r="T256" s="24">
        <f>ROUND(INDEX($C$2:$C$5,MATCH($E256,$B$2:$B$5,0))*$J256/SUMIFS($J:$J,$E:$E,$E256,$B:$B,$B256,S:S,1)*IF(B256=$B$10,0.9,1),0)</f>
        <v>300</v>
      </c>
      <c r="U256" s="24">
        <f t="shared" si="1057"/>
        <v>1</v>
      </c>
      <c r="V256" s="24">
        <f>ROUND(INDEX($C$2:$C$5,MATCH($E256,$B$2:$B$5,0))*$K256/SUMIFS($K:$K,$E:$E,$E256,$B:$B,$B256,U:U,1)*IF(B256=$B$10,0.9,1),0)</f>
        <v>300</v>
      </c>
      <c r="W256" s="24">
        <f t="shared" ref="W256:AA256" si="1058">IF($L256&lt;=W$8,1,0)</f>
        <v>1</v>
      </c>
      <c r="X256" s="24">
        <f>ROUND(INDEX($C$2:$C$5,MATCH($E256,$B$2:$B$5,0))*$F256/SUMIFS($F:$F,$E:$E,$E256,$B:$B,$B256,W:W,1)*IF(B256=$B$10,0.9,1),0)</f>
        <v>250</v>
      </c>
      <c r="Y256" s="24">
        <f t="shared" si="1058"/>
        <v>1</v>
      </c>
      <c r="Z256" s="24">
        <f>ROUND(INDEX($C$2:$C$5,MATCH($E256,$B$2:$B$5,0))*$G256/SUMIFS($G:$G,$E:$E,$E256,$B:$B,$B256,Y:Y,1)*IF(B256=$B$10,0.9,1),0)</f>
        <v>250</v>
      </c>
      <c r="AA256" s="24">
        <f t="shared" si="1058"/>
        <v>1</v>
      </c>
      <c r="AB256" s="24">
        <f>ROUND(INDEX($C$2:$C$5,MATCH($E256,$B$2:$B$5,0))*$H256/SUMIFS($H:$H,$E:$E,$E256,$B:$B,$B256,AA:AA,1)*IF(B256=$B$10,0.9,1),0)</f>
        <v>250</v>
      </c>
      <c r="AC256" s="24">
        <f t="shared" ref="AC256:AG256" si="1059">IF($L256&lt;=AC$8,1,0)</f>
        <v>1</v>
      </c>
      <c r="AD256" s="24">
        <f>ROUND(INDEX($C$2:$C$5,MATCH($E256,$B$2:$B$5,0))*$F256/SUMIFS($F:$F,$E:$E,$E256,$B:$B,$B256,AC:AC,1)*IF(B256=$B$10,0.9,1),0)</f>
        <v>250</v>
      </c>
      <c r="AE256" s="24">
        <f t="shared" si="1059"/>
        <v>1</v>
      </c>
      <c r="AF256" s="24">
        <f>ROUND(INDEX($C$2:$C$5,MATCH($E256,$B$2:$B$5,0))*$G256/SUMIFS($G:$G,$E:$E,$E256,$B:$B,$B256,AE:AE,1)*IF(B256=$B$10,0.9,1),0)</f>
        <v>250</v>
      </c>
      <c r="AG256" s="24">
        <f t="shared" si="1059"/>
        <v>1</v>
      </c>
      <c r="AH256" s="24">
        <f>ROUND(INDEX($C$2:$C$5,MATCH($E256,$B$2:$B$5,0))*$H256/SUMIFS($H:$H,$E:$E,$E256,$B:$B,$B256,AG:AG,1)*IF(B256=$B$10,0.9,1),0)</f>
        <v>250</v>
      </c>
      <c r="AI256" s="24">
        <f t="shared" ref="AI256:AM256" si="1060">IF($L256&lt;=AI$8,1,0)</f>
        <v>1</v>
      </c>
      <c r="AJ256" s="24">
        <f>ROUND(INDEX($C$2:$C$5,MATCH($E256,$B$2:$B$5,0))*$F256/SUMIFS($F:$F,$E:$E,$E256,$B:$B,$B256,AI:AI,1)*IF(B256=$B$10,0.9,1),0)</f>
        <v>250</v>
      </c>
      <c r="AK256" s="24">
        <f t="shared" si="1060"/>
        <v>1</v>
      </c>
      <c r="AL256" s="24">
        <f>ROUND(INDEX($C$2:$C$5,MATCH($E256,$B$2:$B$5,0))*$G256/SUMIFS($G:$G,$E:$E,$E256,$B:$B,$B256,AK:AK,1)*IF(B256=$B$10,0.9,1),0)</f>
        <v>250</v>
      </c>
      <c r="AM256" s="24">
        <f t="shared" si="1060"/>
        <v>1</v>
      </c>
      <c r="AN256" s="24">
        <f>ROUND(INDEX($C$2:$C$5,MATCH($E256,$B$2:$B$5,0))*$H256/SUMIFS($H:$H,$E:$E,$E256,$B:$B,$B256,AM:AM,1)*IF(B256=$B$10,0.9,1),0)</f>
        <v>250</v>
      </c>
      <c r="AX256" s="4" t="str">
        <f t="shared" si="830"/>
        <v>1,250</v>
      </c>
      <c r="AY256" s="4" t="str">
        <f t="shared" si="831"/>
        <v>1,300</v>
      </c>
      <c r="AZ256" s="4" t="str">
        <f t="shared" si="832"/>
        <v>1,300</v>
      </c>
      <c r="BA256" s="4" t="str">
        <f t="shared" si="833"/>
        <v>1,300</v>
      </c>
      <c r="BB256" s="4" t="str">
        <f t="shared" si="834"/>
        <v>1,250</v>
      </c>
      <c r="BC256" s="4" t="str">
        <f t="shared" si="835"/>
        <v>1,250</v>
      </c>
      <c r="BD256" s="4" t="str">
        <f t="shared" si="836"/>
        <v>1,250</v>
      </c>
      <c r="BE256" s="4" t="str">
        <f t="shared" si="837"/>
        <v>1,250</v>
      </c>
      <c r="BF256" s="4" t="str">
        <f t="shared" si="838"/>
        <v>1,250</v>
      </c>
      <c r="BG256" s="4" t="str">
        <f t="shared" si="839"/>
        <v>1,250</v>
      </c>
      <c r="BH256" s="4" t="str">
        <f t="shared" si="840"/>
        <v>1,250</v>
      </c>
      <c r="BI256" s="4" t="str">
        <f t="shared" si="841"/>
        <v>1,250</v>
      </c>
      <c r="BJ256" s="4" t="str">
        <f t="shared" si="842"/>
        <v>1,250</v>
      </c>
    </row>
    <row r="257" customHeight="1" spans="1:62">
      <c r="A257" s="62">
        <v>1523</v>
      </c>
      <c r="B257" s="55" t="s">
        <v>114</v>
      </c>
      <c r="C257" s="64"/>
      <c r="D257" s="46" t="s">
        <v>368</v>
      </c>
      <c r="E257" s="65">
        <v>3</v>
      </c>
      <c r="F257" s="35">
        <v>1</v>
      </c>
      <c r="G257" s="35">
        <f t="shared" si="843"/>
        <v>1</v>
      </c>
      <c r="H257" s="35">
        <v>1</v>
      </c>
      <c r="I257" s="35">
        <v>1</v>
      </c>
      <c r="J257" s="35">
        <v>1</v>
      </c>
      <c r="K257" s="35">
        <v>1</v>
      </c>
      <c r="L257" s="35">
        <v>1</v>
      </c>
      <c r="M257" s="35"/>
      <c r="N257">
        <f t="shared" si="844"/>
        <v>1500</v>
      </c>
      <c r="O257" s="35">
        <v>1</v>
      </c>
      <c r="P257" s="24">
        <f>ROUND(INDEX($C$2:$C$5,MATCH($E257,$B$2:$B$5,0))*$F257/SUMIFS($F:$F,$E:$E,$E257,$B:$B,$B257,O:O,1)*IF(B257=$B$10,0.9,1),0)</f>
        <v>250</v>
      </c>
      <c r="Q257" s="24">
        <f t="shared" ref="Q257:U257" si="1061">IF($L257&lt;=Q$8,1,0)</f>
        <v>1</v>
      </c>
      <c r="R257" s="24">
        <f>ROUND(INDEX($C$2:$C$5,MATCH($E257,$B$2:$B$5,0))*$I257/SUMIFS($I:$I,$E:$E,$E257,$B:$B,$B257,Q:Q,1)*IF(B257=$B$10,0.9,1),0)</f>
        <v>300</v>
      </c>
      <c r="S257" s="24">
        <f t="shared" si="1061"/>
        <v>1</v>
      </c>
      <c r="T257" s="24">
        <f>ROUND(INDEX($C$2:$C$5,MATCH($E257,$B$2:$B$5,0))*$J257/SUMIFS($J:$J,$E:$E,$E257,$B:$B,$B257,S:S,1)*IF(B257=$B$10,0.9,1),0)</f>
        <v>300</v>
      </c>
      <c r="U257" s="24">
        <f t="shared" si="1061"/>
        <v>1</v>
      </c>
      <c r="V257" s="24">
        <f>ROUND(INDEX($C$2:$C$5,MATCH($E257,$B$2:$B$5,0))*$K257/SUMIFS($K:$K,$E:$E,$E257,$B:$B,$B257,U:U,1)*IF(B257=$B$10,0.9,1),0)</f>
        <v>300</v>
      </c>
      <c r="W257" s="24">
        <f t="shared" ref="W257:AA257" si="1062">IF($L257&lt;=W$8,1,0)</f>
        <v>1</v>
      </c>
      <c r="X257" s="24">
        <f>ROUND(INDEX($C$2:$C$5,MATCH($E257,$B$2:$B$5,0))*$F257/SUMIFS($F:$F,$E:$E,$E257,$B:$B,$B257,W:W,1)*IF(B257=$B$10,0.9,1),0)</f>
        <v>250</v>
      </c>
      <c r="Y257" s="24">
        <f t="shared" si="1062"/>
        <v>1</v>
      </c>
      <c r="Z257" s="24">
        <f>ROUND(INDEX($C$2:$C$5,MATCH($E257,$B$2:$B$5,0))*$G257/SUMIFS($G:$G,$E:$E,$E257,$B:$B,$B257,Y:Y,1)*IF(B257=$B$10,0.9,1),0)</f>
        <v>250</v>
      </c>
      <c r="AA257" s="24">
        <f t="shared" si="1062"/>
        <v>1</v>
      </c>
      <c r="AB257" s="24">
        <f>ROUND(INDEX($C$2:$C$5,MATCH($E257,$B$2:$B$5,0))*$H257/SUMIFS($H:$H,$E:$E,$E257,$B:$B,$B257,AA:AA,1)*IF(B257=$B$10,0.9,1),0)</f>
        <v>250</v>
      </c>
      <c r="AC257" s="24">
        <f t="shared" ref="AC257:AG257" si="1063">IF($L257&lt;=AC$8,1,0)</f>
        <v>1</v>
      </c>
      <c r="AD257" s="24">
        <f>ROUND(INDEX($C$2:$C$5,MATCH($E257,$B$2:$B$5,0))*$F257/SUMIFS($F:$F,$E:$E,$E257,$B:$B,$B257,AC:AC,1)*IF(B257=$B$10,0.9,1),0)</f>
        <v>250</v>
      </c>
      <c r="AE257" s="24">
        <f t="shared" si="1063"/>
        <v>1</v>
      </c>
      <c r="AF257" s="24">
        <f>ROUND(INDEX($C$2:$C$5,MATCH($E257,$B$2:$B$5,0))*$G257/SUMIFS($G:$G,$E:$E,$E257,$B:$B,$B257,AE:AE,1)*IF(B257=$B$10,0.9,1),0)</f>
        <v>250</v>
      </c>
      <c r="AG257" s="24">
        <f t="shared" si="1063"/>
        <v>1</v>
      </c>
      <c r="AH257" s="24">
        <f>ROUND(INDEX($C$2:$C$5,MATCH($E257,$B$2:$B$5,0))*$H257/SUMIFS($H:$H,$E:$E,$E257,$B:$B,$B257,AG:AG,1)*IF(B257=$B$10,0.9,1),0)</f>
        <v>250</v>
      </c>
      <c r="AI257" s="24">
        <f t="shared" ref="AI257:AM257" si="1064">IF($L257&lt;=AI$8,1,0)</f>
        <v>1</v>
      </c>
      <c r="AJ257" s="24">
        <f>ROUND(INDEX($C$2:$C$5,MATCH($E257,$B$2:$B$5,0))*$F257/SUMIFS($F:$F,$E:$E,$E257,$B:$B,$B257,AI:AI,1)*IF(B257=$B$10,0.9,1),0)</f>
        <v>250</v>
      </c>
      <c r="AK257" s="24">
        <f t="shared" si="1064"/>
        <v>1</v>
      </c>
      <c r="AL257" s="24">
        <f>ROUND(INDEX($C$2:$C$5,MATCH($E257,$B$2:$B$5,0))*$G257/SUMIFS($G:$G,$E:$E,$E257,$B:$B,$B257,AK:AK,1)*IF(B257=$B$10,0.9,1),0)</f>
        <v>250</v>
      </c>
      <c r="AM257" s="24">
        <f t="shared" si="1064"/>
        <v>1</v>
      </c>
      <c r="AN257" s="24">
        <f>ROUND(INDEX($C$2:$C$5,MATCH($E257,$B$2:$B$5,0))*$H257/SUMIFS($H:$H,$E:$E,$E257,$B:$B,$B257,AM:AM,1)*IF(B257=$B$10,0.9,1),0)</f>
        <v>250</v>
      </c>
      <c r="AX257" s="4" t="str">
        <f t="shared" si="830"/>
        <v>1,250</v>
      </c>
      <c r="AY257" s="4" t="str">
        <f t="shared" si="831"/>
        <v>1,300</v>
      </c>
      <c r="AZ257" s="4" t="str">
        <f t="shared" si="832"/>
        <v>1,300</v>
      </c>
      <c r="BA257" s="4" t="str">
        <f t="shared" si="833"/>
        <v>1,300</v>
      </c>
      <c r="BB257" s="4" t="str">
        <f t="shared" si="834"/>
        <v>1,250</v>
      </c>
      <c r="BC257" s="4" t="str">
        <f t="shared" si="835"/>
        <v>1,250</v>
      </c>
      <c r="BD257" s="4" t="str">
        <f t="shared" si="836"/>
        <v>1,250</v>
      </c>
      <c r="BE257" s="4" t="str">
        <f t="shared" si="837"/>
        <v>1,250</v>
      </c>
      <c r="BF257" s="4" t="str">
        <f t="shared" si="838"/>
        <v>1,250</v>
      </c>
      <c r="BG257" s="4" t="str">
        <f t="shared" si="839"/>
        <v>1,250</v>
      </c>
      <c r="BH257" s="4" t="str">
        <f t="shared" si="840"/>
        <v>1,250</v>
      </c>
      <c r="BI257" s="4" t="str">
        <f t="shared" si="841"/>
        <v>1,250</v>
      </c>
      <c r="BJ257" s="4" t="str">
        <f t="shared" si="842"/>
        <v>1,250</v>
      </c>
    </row>
    <row r="258" customHeight="1" spans="1:62">
      <c r="A258" s="62">
        <v>1524</v>
      </c>
      <c r="B258" s="55" t="s">
        <v>114</v>
      </c>
      <c r="C258" s="64"/>
      <c r="D258" s="46" t="s">
        <v>369</v>
      </c>
      <c r="E258" s="66">
        <v>3</v>
      </c>
      <c r="F258" s="35">
        <v>1</v>
      </c>
      <c r="G258" s="35">
        <f t="shared" si="843"/>
        <v>1</v>
      </c>
      <c r="H258" s="35">
        <v>1</v>
      </c>
      <c r="I258" s="35">
        <v>1</v>
      </c>
      <c r="J258" s="35">
        <v>1</v>
      </c>
      <c r="K258" s="35">
        <v>1</v>
      </c>
      <c r="L258" s="35">
        <v>1</v>
      </c>
      <c r="M258" s="35"/>
      <c r="N258">
        <f t="shared" si="844"/>
        <v>1500</v>
      </c>
      <c r="O258" s="35">
        <v>1</v>
      </c>
      <c r="P258" s="24">
        <f>ROUND(INDEX($C$2:$C$5,MATCH($E258,$B$2:$B$5,0))*$F258/SUMIFS($F:$F,$E:$E,$E258,$B:$B,$B258,O:O,1)*IF(B258=$B$10,0.9,1),0)</f>
        <v>250</v>
      </c>
      <c r="Q258" s="24">
        <f t="shared" ref="Q258:U258" si="1065">IF($L258&lt;=Q$8,1,0)</f>
        <v>1</v>
      </c>
      <c r="R258" s="24">
        <f>ROUND(INDEX($C$2:$C$5,MATCH($E258,$B$2:$B$5,0))*$I258/SUMIFS($I:$I,$E:$E,$E258,$B:$B,$B258,Q:Q,1)*IF(B258=$B$10,0.9,1),0)</f>
        <v>300</v>
      </c>
      <c r="S258" s="24">
        <f t="shared" si="1065"/>
        <v>1</v>
      </c>
      <c r="T258" s="24">
        <f>ROUND(INDEX($C$2:$C$5,MATCH($E258,$B$2:$B$5,0))*$J258/SUMIFS($J:$J,$E:$E,$E258,$B:$B,$B258,S:S,1)*IF(B258=$B$10,0.9,1),0)</f>
        <v>300</v>
      </c>
      <c r="U258" s="24">
        <f t="shared" si="1065"/>
        <v>1</v>
      </c>
      <c r="V258" s="24">
        <f>ROUND(INDEX($C$2:$C$5,MATCH($E258,$B$2:$B$5,0))*$K258/SUMIFS($K:$K,$E:$E,$E258,$B:$B,$B258,U:U,1)*IF(B258=$B$10,0.9,1),0)</f>
        <v>300</v>
      </c>
      <c r="W258" s="24">
        <f t="shared" ref="W258:AA258" si="1066">IF($L258&lt;=W$8,1,0)</f>
        <v>1</v>
      </c>
      <c r="X258" s="24">
        <f>ROUND(INDEX($C$2:$C$5,MATCH($E258,$B$2:$B$5,0))*$F258/SUMIFS($F:$F,$E:$E,$E258,$B:$B,$B258,W:W,1)*IF(B258=$B$10,0.9,1),0)</f>
        <v>250</v>
      </c>
      <c r="Y258" s="24">
        <f t="shared" si="1066"/>
        <v>1</v>
      </c>
      <c r="Z258" s="24">
        <f>ROUND(INDEX($C$2:$C$5,MATCH($E258,$B$2:$B$5,0))*$G258/SUMIFS($G:$G,$E:$E,$E258,$B:$B,$B258,Y:Y,1)*IF(B258=$B$10,0.9,1),0)</f>
        <v>250</v>
      </c>
      <c r="AA258" s="24">
        <f t="shared" si="1066"/>
        <v>1</v>
      </c>
      <c r="AB258" s="24">
        <f>ROUND(INDEX($C$2:$C$5,MATCH($E258,$B$2:$B$5,0))*$H258/SUMIFS($H:$H,$E:$E,$E258,$B:$B,$B258,AA:AA,1)*IF(B258=$B$10,0.9,1),0)</f>
        <v>250</v>
      </c>
      <c r="AC258" s="24">
        <f t="shared" ref="AC258:AG258" si="1067">IF($L258&lt;=AC$8,1,0)</f>
        <v>1</v>
      </c>
      <c r="AD258" s="24">
        <f>ROUND(INDEX($C$2:$C$5,MATCH($E258,$B$2:$B$5,0))*$F258/SUMIFS($F:$F,$E:$E,$E258,$B:$B,$B258,AC:AC,1)*IF(B258=$B$10,0.9,1),0)</f>
        <v>250</v>
      </c>
      <c r="AE258" s="24">
        <f t="shared" si="1067"/>
        <v>1</v>
      </c>
      <c r="AF258" s="24">
        <f>ROUND(INDEX($C$2:$C$5,MATCH($E258,$B$2:$B$5,0))*$G258/SUMIFS($G:$G,$E:$E,$E258,$B:$B,$B258,AE:AE,1)*IF(B258=$B$10,0.9,1),0)</f>
        <v>250</v>
      </c>
      <c r="AG258" s="24">
        <f t="shared" si="1067"/>
        <v>1</v>
      </c>
      <c r="AH258" s="24">
        <f>ROUND(INDEX($C$2:$C$5,MATCH($E258,$B$2:$B$5,0))*$H258/SUMIFS($H:$H,$E:$E,$E258,$B:$B,$B258,AG:AG,1)*IF(B258=$B$10,0.9,1),0)</f>
        <v>250</v>
      </c>
      <c r="AI258" s="24">
        <f t="shared" ref="AI258:AM258" si="1068">IF($L258&lt;=AI$8,1,0)</f>
        <v>1</v>
      </c>
      <c r="AJ258" s="24">
        <f>ROUND(INDEX($C$2:$C$5,MATCH($E258,$B$2:$B$5,0))*$F258/SUMIFS($F:$F,$E:$E,$E258,$B:$B,$B258,AI:AI,1)*IF(B258=$B$10,0.9,1),0)</f>
        <v>250</v>
      </c>
      <c r="AK258" s="24">
        <f t="shared" si="1068"/>
        <v>1</v>
      </c>
      <c r="AL258" s="24">
        <f>ROUND(INDEX($C$2:$C$5,MATCH($E258,$B$2:$B$5,0))*$G258/SUMIFS($G:$G,$E:$E,$E258,$B:$B,$B258,AK:AK,1)*IF(B258=$B$10,0.9,1),0)</f>
        <v>250</v>
      </c>
      <c r="AM258" s="24">
        <f t="shared" si="1068"/>
        <v>1</v>
      </c>
      <c r="AN258" s="24">
        <f>ROUND(INDEX($C$2:$C$5,MATCH($E258,$B$2:$B$5,0))*$H258/SUMIFS($H:$H,$E:$E,$E258,$B:$B,$B258,AM:AM,1)*IF(B258=$B$10,0.9,1),0)</f>
        <v>250</v>
      </c>
      <c r="AX258" s="4" t="str">
        <f t="shared" si="830"/>
        <v>1,250</v>
      </c>
      <c r="AY258" s="4" t="str">
        <f t="shared" si="831"/>
        <v>1,300</v>
      </c>
      <c r="AZ258" s="4" t="str">
        <f t="shared" si="832"/>
        <v>1,300</v>
      </c>
      <c r="BA258" s="4" t="str">
        <f t="shared" si="833"/>
        <v>1,300</v>
      </c>
      <c r="BB258" s="4" t="str">
        <f t="shared" si="834"/>
        <v>1,250</v>
      </c>
      <c r="BC258" s="4" t="str">
        <f t="shared" si="835"/>
        <v>1,250</v>
      </c>
      <c r="BD258" s="4" t="str">
        <f t="shared" si="836"/>
        <v>1,250</v>
      </c>
      <c r="BE258" s="4" t="str">
        <f t="shared" si="837"/>
        <v>1,250</v>
      </c>
      <c r="BF258" s="4" t="str">
        <f t="shared" si="838"/>
        <v>1,250</v>
      </c>
      <c r="BG258" s="4" t="str">
        <f t="shared" si="839"/>
        <v>1,250</v>
      </c>
      <c r="BH258" s="4" t="str">
        <f t="shared" si="840"/>
        <v>1,250</v>
      </c>
      <c r="BI258" s="4" t="str">
        <f t="shared" si="841"/>
        <v>1,250</v>
      </c>
      <c r="BJ258" s="4" t="str">
        <f t="shared" si="842"/>
        <v>1,250</v>
      </c>
    </row>
    <row r="259" customHeight="1" spans="1:62">
      <c r="A259" s="62">
        <v>1531</v>
      </c>
      <c r="B259" s="55" t="s">
        <v>114</v>
      </c>
      <c r="C259" s="64"/>
      <c r="D259" s="44" t="s">
        <v>105</v>
      </c>
      <c r="E259" s="66">
        <v>2</v>
      </c>
      <c r="F259" s="35">
        <v>1</v>
      </c>
      <c r="G259" s="35">
        <f t="shared" si="843"/>
        <v>1</v>
      </c>
      <c r="H259" s="35">
        <v>1</v>
      </c>
      <c r="I259" s="35">
        <v>1</v>
      </c>
      <c r="J259" s="35">
        <v>1</v>
      </c>
      <c r="K259" s="35">
        <v>1</v>
      </c>
      <c r="L259" s="35">
        <v>2</v>
      </c>
      <c r="M259" s="35"/>
      <c r="N259">
        <f t="shared" si="844"/>
        <v>4500</v>
      </c>
      <c r="O259" s="35">
        <v>1</v>
      </c>
      <c r="P259" s="24">
        <f>ROUND(INDEX($C$2:$C$5,MATCH($E259,$B$2:$B$5,0))*$F259/SUMIFS($F:$F,$E:$E,$E259,$B:$B,$B259,O:O,1)*IF(B259=$B$10,0.9,1),0)</f>
        <v>750</v>
      </c>
      <c r="Q259" s="24">
        <f t="shared" ref="Q259:U259" si="1069">IF($L259&lt;=Q$8,1,0)</f>
        <v>0</v>
      </c>
      <c r="R259" s="24">
        <f>ROUND(INDEX($C$2:$C$5,MATCH($E259,$B$2:$B$5,0))*$I259/SUMIFS($I:$I,$E:$E,$E259,$B:$B,$B259,Q:Q,1)*IF(B259=$B$10,0.9,1),0)</f>
        <v>900</v>
      </c>
      <c r="S259" s="24">
        <f t="shared" si="1069"/>
        <v>0</v>
      </c>
      <c r="T259" s="24">
        <f>ROUND(INDEX($C$2:$C$5,MATCH($E259,$B$2:$B$5,0))*$J259/SUMIFS($J:$J,$E:$E,$E259,$B:$B,$B259,S:S,1)*IF(B259=$B$10,0.9,1),0)</f>
        <v>900</v>
      </c>
      <c r="U259" s="24">
        <f t="shared" si="1069"/>
        <v>0</v>
      </c>
      <c r="V259" s="24">
        <f>ROUND(INDEX($C$2:$C$5,MATCH($E259,$B$2:$B$5,0))*$K259/SUMIFS($K:$K,$E:$E,$E259,$B:$B,$B259,U:U,1)*IF(B259=$B$10,0.9,1),0)</f>
        <v>900</v>
      </c>
      <c r="W259" s="24">
        <f t="shared" ref="W259:AA259" si="1070">IF($L259&lt;=W$8,1,0)</f>
        <v>1</v>
      </c>
      <c r="X259" s="24">
        <f>ROUND(INDEX($C$2:$C$5,MATCH($E259,$B$2:$B$5,0))*$F259/SUMIFS($F:$F,$E:$E,$E259,$B:$B,$B259,W:W,1)*IF(B259=$B$10,0.9,1),0)</f>
        <v>750</v>
      </c>
      <c r="Y259" s="24">
        <f t="shared" si="1070"/>
        <v>1</v>
      </c>
      <c r="Z259" s="24">
        <f>ROUND(INDEX($C$2:$C$5,MATCH($E259,$B$2:$B$5,0))*$G259/SUMIFS($G:$G,$E:$E,$E259,$B:$B,$B259,Y:Y,1)*IF(B259=$B$10,0.9,1),0)</f>
        <v>750</v>
      </c>
      <c r="AA259" s="24">
        <f t="shared" si="1070"/>
        <v>1</v>
      </c>
      <c r="AB259" s="24">
        <f>ROUND(INDEX($C$2:$C$5,MATCH($E259,$B$2:$B$5,0))*$H259/SUMIFS($H:$H,$E:$E,$E259,$B:$B,$B259,AA:AA,1)*IF(B259=$B$10,0.9,1),0)</f>
        <v>750</v>
      </c>
      <c r="AC259" s="24">
        <f t="shared" ref="AC259:AG259" si="1071">IF($L259&lt;=AC$8,1,0)</f>
        <v>1</v>
      </c>
      <c r="AD259" s="24">
        <f>ROUND(INDEX($C$2:$C$5,MATCH($E259,$B$2:$B$5,0))*$F259/SUMIFS($F:$F,$E:$E,$E259,$B:$B,$B259,AC:AC,1)*IF(B259=$B$10,0.9,1),0)</f>
        <v>750</v>
      </c>
      <c r="AE259" s="24">
        <f t="shared" si="1071"/>
        <v>1</v>
      </c>
      <c r="AF259" s="24">
        <f>ROUND(INDEX($C$2:$C$5,MATCH($E259,$B$2:$B$5,0))*$G259/SUMIFS($G:$G,$E:$E,$E259,$B:$B,$B259,AE:AE,1)*IF(B259=$B$10,0.9,1),0)</f>
        <v>750</v>
      </c>
      <c r="AG259" s="24">
        <f t="shared" si="1071"/>
        <v>1</v>
      </c>
      <c r="AH259" s="24">
        <f>ROUND(INDEX($C$2:$C$5,MATCH($E259,$B$2:$B$5,0))*$H259/SUMIFS($H:$H,$E:$E,$E259,$B:$B,$B259,AG:AG,1)*IF(B259=$B$10,0.9,1),0)</f>
        <v>750</v>
      </c>
      <c r="AI259" s="24">
        <f t="shared" ref="AI259:AM259" si="1072">IF($L259&lt;=AI$8,1,0)</f>
        <v>1</v>
      </c>
      <c r="AJ259" s="24">
        <f>ROUND(INDEX($C$2:$C$5,MATCH($E259,$B$2:$B$5,0))*$F259/SUMIFS($F:$F,$E:$E,$E259,$B:$B,$B259,AI:AI,1)*IF(B259=$B$10,0.9,1),0)</f>
        <v>750</v>
      </c>
      <c r="AK259" s="24">
        <f t="shared" si="1072"/>
        <v>1</v>
      </c>
      <c r="AL259" s="24">
        <f>ROUND(INDEX($C$2:$C$5,MATCH($E259,$B$2:$B$5,0))*$G259/SUMIFS($G:$G,$E:$E,$E259,$B:$B,$B259,AK:AK,1)*IF(B259=$B$10,0.9,1),0)</f>
        <v>750</v>
      </c>
      <c r="AM259" s="24">
        <f t="shared" si="1072"/>
        <v>1</v>
      </c>
      <c r="AN259" s="24">
        <f>ROUND(INDEX($C$2:$C$5,MATCH($E259,$B$2:$B$5,0))*$H259/SUMIFS($H:$H,$E:$E,$E259,$B:$B,$B259,AM:AM,1)*IF(B259=$B$10,0.9,1),0)</f>
        <v>750</v>
      </c>
      <c r="AX259" s="4" t="str">
        <f t="shared" si="830"/>
        <v>1,750</v>
      </c>
      <c r="AY259" s="4" t="str">
        <f t="shared" si="831"/>
        <v>0,900</v>
      </c>
      <c r="AZ259" s="4" t="str">
        <f t="shared" si="832"/>
        <v>0,900</v>
      </c>
      <c r="BA259" s="4" t="str">
        <f t="shared" si="833"/>
        <v>0,900</v>
      </c>
      <c r="BB259" s="4" t="str">
        <f t="shared" si="834"/>
        <v>1,750</v>
      </c>
      <c r="BC259" s="4" t="str">
        <f t="shared" si="835"/>
        <v>1,750</v>
      </c>
      <c r="BD259" s="4" t="str">
        <f t="shared" si="836"/>
        <v>1,750</v>
      </c>
      <c r="BE259" s="4" t="str">
        <f t="shared" si="837"/>
        <v>1,750</v>
      </c>
      <c r="BF259" s="4" t="str">
        <f t="shared" si="838"/>
        <v>1,750</v>
      </c>
      <c r="BG259" s="4" t="str">
        <f t="shared" si="839"/>
        <v>1,750</v>
      </c>
      <c r="BH259" s="4" t="str">
        <f t="shared" si="840"/>
        <v>1,750</v>
      </c>
      <c r="BI259" s="4" t="str">
        <f t="shared" si="841"/>
        <v>1,750</v>
      </c>
      <c r="BJ259" s="4" t="str">
        <f t="shared" si="842"/>
        <v>1,750</v>
      </c>
    </row>
    <row r="260" customHeight="1" spans="1:62">
      <c r="A260" s="62">
        <v>1532</v>
      </c>
      <c r="B260" s="55" t="s">
        <v>114</v>
      </c>
      <c r="C260" s="64"/>
      <c r="D260" s="44" t="s">
        <v>421</v>
      </c>
      <c r="E260" s="66">
        <v>2</v>
      </c>
      <c r="F260" s="35">
        <v>1</v>
      </c>
      <c r="G260" s="35">
        <f t="shared" si="843"/>
        <v>1</v>
      </c>
      <c r="H260" s="35">
        <v>1</v>
      </c>
      <c r="I260" s="35">
        <v>1</v>
      </c>
      <c r="J260" s="35">
        <v>1</v>
      </c>
      <c r="K260" s="35">
        <v>1</v>
      </c>
      <c r="L260" s="35">
        <v>1</v>
      </c>
      <c r="M260" s="35" t="s">
        <v>136</v>
      </c>
      <c r="N260">
        <f t="shared" si="844"/>
        <v>4500</v>
      </c>
      <c r="O260" s="35">
        <v>1</v>
      </c>
      <c r="P260" s="24">
        <f>ROUND(INDEX($C$2:$C$5,MATCH($E260,$B$2:$B$5,0))*$F260/SUMIFS($F:$F,$E:$E,$E260,$B:$B,$B260,O:O,1)*IF(B260=$B$10,0.9,1),0)</f>
        <v>750</v>
      </c>
      <c r="Q260" s="24">
        <f t="shared" ref="Q260:U260" si="1073">IF($L260&lt;=Q$8,1,0)</f>
        <v>1</v>
      </c>
      <c r="R260" s="24">
        <f>ROUND(INDEX($C$2:$C$5,MATCH($E260,$B$2:$B$5,0))*$I260/SUMIFS($I:$I,$E:$E,$E260,$B:$B,$B260,Q:Q,1)*IF(B260=$B$10,0.9,1),0)</f>
        <v>900</v>
      </c>
      <c r="S260" s="24">
        <f t="shared" si="1073"/>
        <v>1</v>
      </c>
      <c r="T260" s="24">
        <f>ROUND(INDEX($C$2:$C$5,MATCH($E260,$B$2:$B$5,0))*$J260/SUMIFS($J:$J,$E:$E,$E260,$B:$B,$B260,S:S,1)*IF(B260=$B$10,0.9,1),0)</f>
        <v>900</v>
      </c>
      <c r="U260" s="24">
        <f t="shared" si="1073"/>
        <v>1</v>
      </c>
      <c r="V260" s="24">
        <f>ROUND(INDEX($C$2:$C$5,MATCH($E260,$B$2:$B$5,0))*$K260/SUMIFS($K:$K,$E:$E,$E260,$B:$B,$B260,U:U,1)*IF(B260=$B$10,0.9,1),0)</f>
        <v>900</v>
      </c>
      <c r="W260" s="24">
        <f t="shared" ref="W260:AA260" si="1074">IF($L260&lt;=W$8,1,0)</f>
        <v>1</v>
      </c>
      <c r="X260" s="24">
        <f>ROUND(INDEX($C$2:$C$5,MATCH($E260,$B$2:$B$5,0))*$F260/SUMIFS($F:$F,$E:$E,$E260,$B:$B,$B260,W:W,1)*IF(B260=$B$10,0.9,1),0)</f>
        <v>750</v>
      </c>
      <c r="Y260" s="24">
        <f t="shared" si="1074"/>
        <v>1</v>
      </c>
      <c r="Z260" s="24">
        <f>ROUND(INDEX($C$2:$C$5,MATCH($E260,$B$2:$B$5,0))*$G260/SUMIFS($G:$G,$E:$E,$E260,$B:$B,$B260,Y:Y,1)*IF(B260=$B$10,0.9,1),0)</f>
        <v>750</v>
      </c>
      <c r="AA260" s="24">
        <f t="shared" si="1074"/>
        <v>1</v>
      </c>
      <c r="AB260" s="24">
        <f>ROUND(INDEX($C$2:$C$5,MATCH($E260,$B$2:$B$5,0))*$H260/SUMIFS($H:$H,$E:$E,$E260,$B:$B,$B260,AA:AA,1)*IF(B260=$B$10,0.9,1),0)</f>
        <v>750</v>
      </c>
      <c r="AC260" s="24">
        <f t="shared" ref="AC260:AG260" si="1075">IF($L260&lt;=AC$8,1,0)</f>
        <v>1</v>
      </c>
      <c r="AD260" s="24">
        <f>ROUND(INDEX($C$2:$C$5,MATCH($E260,$B$2:$B$5,0))*$F260/SUMIFS($F:$F,$E:$E,$E260,$B:$B,$B260,AC:AC,1)*IF(B260=$B$10,0.9,1),0)</f>
        <v>750</v>
      </c>
      <c r="AE260" s="24">
        <f t="shared" si="1075"/>
        <v>1</v>
      </c>
      <c r="AF260" s="24">
        <f>ROUND(INDEX($C$2:$C$5,MATCH($E260,$B$2:$B$5,0))*$G260/SUMIFS($G:$G,$E:$E,$E260,$B:$B,$B260,AE:AE,1)*IF(B260=$B$10,0.9,1),0)</f>
        <v>750</v>
      </c>
      <c r="AG260" s="24">
        <f t="shared" si="1075"/>
        <v>1</v>
      </c>
      <c r="AH260" s="24">
        <f>ROUND(INDEX($C$2:$C$5,MATCH($E260,$B$2:$B$5,0))*$H260/SUMIFS($H:$H,$E:$E,$E260,$B:$B,$B260,AG:AG,1)*IF(B260=$B$10,0.9,1),0)</f>
        <v>750</v>
      </c>
      <c r="AI260" s="24">
        <f t="shared" ref="AI260:AM260" si="1076">IF($L260&lt;=AI$8,1,0)</f>
        <v>1</v>
      </c>
      <c r="AJ260" s="24">
        <f>ROUND(INDEX($C$2:$C$5,MATCH($E260,$B$2:$B$5,0))*$F260/SUMIFS($F:$F,$E:$E,$E260,$B:$B,$B260,AI:AI,1)*IF(B260=$B$10,0.9,1),0)</f>
        <v>750</v>
      </c>
      <c r="AK260" s="24">
        <f t="shared" si="1076"/>
        <v>1</v>
      </c>
      <c r="AL260" s="24">
        <f>ROUND(INDEX($C$2:$C$5,MATCH($E260,$B$2:$B$5,0))*$G260/SUMIFS($G:$G,$E:$E,$E260,$B:$B,$B260,AK:AK,1)*IF(B260=$B$10,0.9,1),0)</f>
        <v>750</v>
      </c>
      <c r="AM260" s="24">
        <f t="shared" si="1076"/>
        <v>1</v>
      </c>
      <c r="AN260" s="24">
        <f>ROUND(INDEX($C$2:$C$5,MATCH($E260,$B$2:$B$5,0))*$H260/SUMIFS($H:$H,$E:$E,$E260,$B:$B,$B260,AM:AM,1)*IF(B260=$B$10,0.9,1),0)</f>
        <v>750</v>
      </c>
      <c r="AX260" s="4" t="str">
        <f t="shared" si="830"/>
        <v>1,750</v>
      </c>
      <c r="AY260" s="4" t="str">
        <f t="shared" si="831"/>
        <v>1,900</v>
      </c>
      <c r="AZ260" s="4" t="str">
        <f t="shared" si="832"/>
        <v>1,900</v>
      </c>
      <c r="BA260" s="4" t="str">
        <f t="shared" si="833"/>
        <v>1,900</v>
      </c>
      <c r="BB260" s="4" t="str">
        <f t="shared" si="834"/>
        <v>1,750</v>
      </c>
      <c r="BC260" s="4" t="str">
        <f t="shared" si="835"/>
        <v>1,750</v>
      </c>
      <c r="BD260" s="4" t="str">
        <f t="shared" si="836"/>
        <v>1,750</v>
      </c>
      <c r="BE260" s="4" t="str">
        <f t="shared" si="837"/>
        <v>1,750</v>
      </c>
      <c r="BF260" s="4" t="str">
        <f t="shared" si="838"/>
        <v>1,750</v>
      </c>
      <c r="BG260" s="4" t="str">
        <f t="shared" si="839"/>
        <v>1,750</v>
      </c>
      <c r="BH260" s="4" t="str">
        <f t="shared" si="840"/>
        <v>1,750</v>
      </c>
      <c r="BI260" s="4" t="str">
        <f t="shared" si="841"/>
        <v>1,750</v>
      </c>
      <c r="BJ260" s="4" t="str">
        <f t="shared" si="842"/>
        <v>1,750</v>
      </c>
    </row>
    <row r="261" customHeight="1" spans="1:62">
      <c r="A261" s="62">
        <v>1541</v>
      </c>
      <c r="B261" s="55" t="s">
        <v>114</v>
      </c>
      <c r="C261" s="64" t="s">
        <v>218</v>
      </c>
      <c r="D261" s="46" t="s">
        <v>52</v>
      </c>
      <c r="E261" s="66">
        <v>3</v>
      </c>
      <c r="F261" s="35">
        <v>1</v>
      </c>
      <c r="G261" s="35">
        <f t="shared" si="843"/>
        <v>1</v>
      </c>
      <c r="H261" s="35">
        <v>1</v>
      </c>
      <c r="I261" s="35">
        <v>1</v>
      </c>
      <c r="J261" s="35">
        <v>1</v>
      </c>
      <c r="K261" s="35">
        <v>1</v>
      </c>
      <c r="L261" s="35">
        <v>2</v>
      </c>
      <c r="M261" s="35" t="s">
        <v>136</v>
      </c>
      <c r="N261">
        <f t="shared" si="844"/>
        <v>1500</v>
      </c>
      <c r="O261" s="35">
        <v>1</v>
      </c>
      <c r="P261" s="24">
        <f>ROUND(INDEX($C$2:$C$5,MATCH($E261,$B$2:$B$5,0))*$F261/SUMIFS($F:$F,$E:$E,$E261,$B:$B,$B261,O:O,1)*IF(B261=$B$10,0.9,1),0)</f>
        <v>250</v>
      </c>
      <c r="Q261" s="24">
        <f t="shared" ref="Q261:U261" si="1077">IF($L261&lt;=Q$8,1,0)</f>
        <v>0</v>
      </c>
      <c r="R261" s="24">
        <f>ROUND(INDEX($C$2:$C$5,MATCH($E261,$B$2:$B$5,0))*$I261/SUMIFS($I:$I,$E:$E,$E261,$B:$B,$B261,Q:Q,1)*IF(B261=$B$10,0.9,1),0)</f>
        <v>300</v>
      </c>
      <c r="S261" s="24">
        <f t="shared" si="1077"/>
        <v>0</v>
      </c>
      <c r="T261" s="24">
        <f>ROUND(INDEX($C$2:$C$5,MATCH($E261,$B$2:$B$5,0))*$J261/SUMIFS($J:$J,$E:$E,$E261,$B:$B,$B261,S:S,1)*IF(B261=$B$10,0.9,1),0)</f>
        <v>300</v>
      </c>
      <c r="U261" s="24">
        <f t="shared" si="1077"/>
        <v>0</v>
      </c>
      <c r="V261" s="24">
        <f>ROUND(INDEX($C$2:$C$5,MATCH($E261,$B$2:$B$5,0))*$K261/SUMIFS($K:$K,$E:$E,$E261,$B:$B,$B261,U:U,1)*IF(B261=$B$10,0.9,1),0)</f>
        <v>300</v>
      </c>
      <c r="W261" s="24">
        <f t="shared" ref="W261:AA261" si="1078">IF($L261&lt;=W$8,1,0)</f>
        <v>1</v>
      </c>
      <c r="X261" s="24">
        <f>ROUND(INDEX($C$2:$C$5,MATCH($E261,$B$2:$B$5,0))*$F261/SUMIFS($F:$F,$E:$E,$E261,$B:$B,$B261,W:W,1)*IF(B261=$B$10,0.9,1),0)</f>
        <v>250</v>
      </c>
      <c r="Y261" s="24">
        <f t="shared" si="1078"/>
        <v>1</v>
      </c>
      <c r="Z261" s="24">
        <f>ROUND(INDEX($C$2:$C$5,MATCH($E261,$B$2:$B$5,0))*$G261/SUMIFS($G:$G,$E:$E,$E261,$B:$B,$B261,Y:Y,1)*IF(B261=$B$10,0.9,1),0)</f>
        <v>250</v>
      </c>
      <c r="AA261" s="24">
        <f t="shared" si="1078"/>
        <v>1</v>
      </c>
      <c r="AB261" s="24">
        <f>ROUND(INDEX($C$2:$C$5,MATCH($E261,$B$2:$B$5,0))*$H261/SUMIFS($H:$H,$E:$E,$E261,$B:$B,$B261,AA:AA,1)*IF(B261=$B$10,0.9,1),0)</f>
        <v>250</v>
      </c>
      <c r="AC261" s="24">
        <f t="shared" ref="AC261:AG261" si="1079">IF($L261&lt;=AC$8,1,0)</f>
        <v>1</v>
      </c>
      <c r="AD261" s="24">
        <f>ROUND(INDEX($C$2:$C$5,MATCH($E261,$B$2:$B$5,0))*$F261/SUMIFS($F:$F,$E:$E,$E261,$B:$B,$B261,AC:AC,1)*IF(B261=$B$10,0.9,1),0)</f>
        <v>250</v>
      </c>
      <c r="AE261" s="24">
        <f t="shared" si="1079"/>
        <v>1</v>
      </c>
      <c r="AF261" s="24">
        <f>ROUND(INDEX($C$2:$C$5,MATCH($E261,$B$2:$B$5,0))*$G261/SUMIFS($G:$G,$E:$E,$E261,$B:$B,$B261,AE:AE,1)*IF(B261=$B$10,0.9,1),0)</f>
        <v>250</v>
      </c>
      <c r="AG261" s="24">
        <f t="shared" si="1079"/>
        <v>1</v>
      </c>
      <c r="AH261" s="24">
        <f>ROUND(INDEX($C$2:$C$5,MATCH($E261,$B$2:$B$5,0))*$H261/SUMIFS($H:$H,$E:$E,$E261,$B:$B,$B261,AG:AG,1)*IF(B261=$B$10,0.9,1),0)</f>
        <v>250</v>
      </c>
      <c r="AI261" s="24">
        <f t="shared" ref="AI261:AM261" si="1080">IF($L261&lt;=AI$8,1,0)</f>
        <v>1</v>
      </c>
      <c r="AJ261" s="24">
        <f>ROUND(INDEX($C$2:$C$5,MATCH($E261,$B$2:$B$5,0))*$F261/SUMIFS($F:$F,$E:$E,$E261,$B:$B,$B261,AI:AI,1)*IF(B261=$B$10,0.9,1),0)</f>
        <v>250</v>
      </c>
      <c r="AK261" s="24">
        <f t="shared" si="1080"/>
        <v>1</v>
      </c>
      <c r="AL261" s="24">
        <f>ROUND(INDEX($C$2:$C$5,MATCH($E261,$B$2:$B$5,0))*$G261/SUMIFS($G:$G,$E:$E,$E261,$B:$B,$B261,AK:AK,1)*IF(B261=$B$10,0.9,1),0)</f>
        <v>250</v>
      </c>
      <c r="AM261" s="24">
        <f t="shared" si="1080"/>
        <v>1</v>
      </c>
      <c r="AN261" s="24">
        <f>ROUND(INDEX($C$2:$C$5,MATCH($E261,$B$2:$B$5,0))*$H261/SUMIFS($H:$H,$E:$E,$E261,$B:$B,$B261,AM:AM,1)*IF(B261=$B$10,0.9,1),0)</f>
        <v>250</v>
      </c>
      <c r="AX261" s="4" t="str">
        <f t="shared" si="830"/>
        <v>1,250</v>
      </c>
      <c r="AY261" s="4" t="str">
        <f t="shared" si="831"/>
        <v>0,300</v>
      </c>
      <c r="AZ261" s="4" t="str">
        <f t="shared" si="832"/>
        <v>0,300</v>
      </c>
      <c r="BA261" s="4" t="str">
        <f t="shared" si="833"/>
        <v>0,300</v>
      </c>
      <c r="BB261" s="4" t="str">
        <f t="shared" si="834"/>
        <v>1,250</v>
      </c>
      <c r="BC261" s="4" t="str">
        <f t="shared" si="835"/>
        <v>1,250</v>
      </c>
      <c r="BD261" s="4" t="str">
        <f t="shared" si="836"/>
        <v>1,250</v>
      </c>
      <c r="BE261" s="4" t="str">
        <f t="shared" si="837"/>
        <v>1,250</v>
      </c>
      <c r="BF261" s="4" t="str">
        <f t="shared" si="838"/>
        <v>1,250</v>
      </c>
      <c r="BG261" s="4" t="str">
        <f t="shared" si="839"/>
        <v>1,250</v>
      </c>
      <c r="BH261" s="4" t="str">
        <f t="shared" si="840"/>
        <v>1,250</v>
      </c>
      <c r="BI261" s="4" t="str">
        <f t="shared" si="841"/>
        <v>1,250</v>
      </c>
      <c r="BJ261" s="4" t="str">
        <f t="shared" si="842"/>
        <v>1,250</v>
      </c>
    </row>
    <row r="262" customHeight="1" spans="1:62">
      <c r="A262" s="62">
        <v>1542</v>
      </c>
      <c r="B262" s="55" t="s">
        <v>114</v>
      </c>
      <c r="C262" s="64" t="s">
        <v>218</v>
      </c>
      <c r="D262" s="46" t="s">
        <v>117</v>
      </c>
      <c r="E262" s="66">
        <v>3</v>
      </c>
      <c r="F262" s="35">
        <v>1</v>
      </c>
      <c r="G262" s="35">
        <f t="shared" si="843"/>
        <v>1</v>
      </c>
      <c r="H262" s="35">
        <v>1</v>
      </c>
      <c r="I262" s="35">
        <v>1</v>
      </c>
      <c r="J262" s="35">
        <v>1</v>
      </c>
      <c r="K262" s="35">
        <v>1</v>
      </c>
      <c r="L262" s="35">
        <v>1</v>
      </c>
      <c r="M262" s="35"/>
      <c r="N262">
        <f t="shared" si="844"/>
        <v>1500</v>
      </c>
      <c r="O262" s="35">
        <v>1</v>
      </c>
      <c r="P262" s="24">
        <f>ROUND(INDEX($C$2:$C$5,MATCH($E262,$B$2:$B$5,0))*$F262/SUMIFS($F:$F,$E:$E,$E262,$B:$B,$B262,O:O,1)*IF(B262=$B$10,0.9,1),0)</f>
        <v>250</v>
      </c>
      <c r="Q262" s="24">
        <f t="shared" ref="Q262:U262" si="1081">IF($L262&lt;=Q$8,1,0)</f>
        <v>1</v>
      </c>
      <c r="R262" s="24">
        <f>ROUND(INDEX($C$2:$C$5,MATCH($E262,$B$2:$B$5,0))*$I262/SUMIFS($I:$I,$E:$E,$E262,$B:$B,$B262,Q:Q,1)*IF(B262=$B$10,0.9,1),0)</f>
        <v>300</v>
      </c>
      <c r="S262" s="24">
        <f t="shared" si="1081"/>
        <v>1</v>
      </c>
      <c r="T262" s="24">
        <f>ROUND(INDEX($C$2:$C$5,MATCH($E262,$B$2:$B$5,0))*$J262/SUMIFS($J:$J,$E:$E,$E262,$B:$B,$B262,S:S,1)*IF(B262=$B$10,0.9,1),0)</f>
        <v>300</v>
      </c>
      <c r="U262" s="24">
        <f t="shared" si="1081"/>
        <v>1</v>
      </c>
      <c r="V262" s="24">
        <f>ROUND(INDEX($C$2:$C$5,MATCH($E262,$B$2:$B$5,0))*$K262/SUMIFS($K:$K,$E:$E,$E262,$B:$B,$B262,U:U,1)*IF(B262=$B$10,0.9,1),0)</f>
        <v>300</v>
      </c>
      <c r="W262" s="24">
        <f t="shared" ref="W262:AA262" si="1082">IF($L262&lt;=W$8,1,0)</f>
        <v>1</v>
      </c>
      <c r="X262" s="24">
        <f>ROUND(INDEX($C$2:$C$5,MATCH($E262,$B$2:$B$5,0))*$F262/SUMIFS($F:$F,$E:$E,$E262,$B:$B,$B262,W:W,1)*IF(B262=$B$10,0.9,1),0)</f>
        <v>250</v>
      </c>
      <c r="Y262" s="24">
        <f t="shared" si="1082"/>
        <v>1</v>
      </c>
      <c r="Z262" s="24">
        <f>ROUND(INDEX($C$2:$C$5,MATCH($E262,$B$2:$B$5,0))*$G262/SUMIFS($G:$G,$E:$E,$E262,$B:$B,$B262,Y:Y,1)*IF(B262=$B$10,0.9,1),0)</f>
        <v>250</v>
      </c>
      <c r="AA262" s="24">
        <f t="shared" si="1082"/>
        <v>1</v>
      </c>
      <c r="AB262" s="24">
        <f>ROUND(INDEX($C$2:$C$5,MATCH($E262,$B$2:$B$5,0))*$H262/SUMIFS($H:$H,$E:$E,$E262,$B:$B,$B262,AA:AA,1)*IF(B262=$B$10,0.9,1),0)</f>
        <v>250</v>
      </c>
      <c r="AC262" s="24">
        <f t="shared" ref="AC262:AG262" si="1083">IF($L262&lt;=AC$8,1,0)</f>
        <v>1</v>
      </c>
      <c r="AD262" s="24">
        <f>ROUND(INDEX($C$2:$C$5,MATCH($E262,$B$2:$B$5,0))*$F262/SUMIFS($F:$F,$E:$E,$E262,$B:$B,$B262,AC:AC,1)*IF(B262=$B$10,0.9,1),0)</f>
        <v>250</v>
      </c>
      <c r="AE262" s="24">
        <f t="shared" si="1083"/>
        <v>1</v>
      </c>
      <c r="AF262" s="24">
        <f>ROUND(INDEX($C$2:$C$5,MATCH($E262,$B$2:$B$5,0))*$G262/SUMIFS($G:$G,$E:$E,$E262,$B:$B,$B262,AE:AE,1)*IF(B262=$B$10,0.9,1),0)</f>
        <v>250</v>
      </c>
      <c r="AG262" s="24">
        <f t="shared" si="1083"/>
        <v>1</v>
      </c>
      <c r="AH262" s="24">
        <f>ROUND(INDEX($C$2:$C$5,MATCH($E262,$B$2:$B$5,0))*$H262/SUMIFS($H:$H,$E:$E,$E262,$B:$B,$B262,AG:AG,1)*IF(B262=$B$10,0.9,1),0)</f>
        <v>250</v>
      </c>
      <c r="AI262" s="24">
        <f t="shared" ref="AI262:AM262" si="1084">IF($L262&lt;=AI$8,1,0)</f>
        <v>1</v>
      </c>
      <c r="AJ262" s="24">
        <f>ROUND(INDEX($C$2:$C$5,MATCH($E262,$B$2:$B$5,0))*$F262/SUMIFS($F:$F,$E:$E,$E262,$B:$B,$B262,AI:AI,1)*IF(B262=$B$10,0.9,1),0)</f>
        <v>250</v>
      </c>
      <c r="AK262" s="24">
        <f t="shared" si="1084"/>
        <v>1</v>
      </c>
      <c r="AL262" s="24">
        <f>ROUND(INDEX($C$2:$C$5,MATCH($E262,$B$2:$B$5,0))*$G262/SUMIFS($G:$G,$E:$E,$E262,$B:$B,$B262,AK:AK,1)*IF(B262=$B$10,0.9,1),0)</f>
        <v>250</v>
      </c>
      <c r="AM262" s="24">
        <f t="shared" si="1084"/>
        <v>1</v>
      </c>
      <c r="AN262" s="24">
        <f>ROUND(INDEX($C$2:$C$5,MATCH($E262,$B$2:$B$5,0))*$H262/SUMIFS($H:$H,$E:$E,$E262,$B:$B,$B262,AM:AM,1)*IF(B262=$B$10,0.9,1),0)</f>
        <v>250</v>
      </c>
      <c r="AX262" s="4" t="str">
        <f t="shared" si="830"/>
        <v>1,250</v>
      </c>
      <c r="AY262" s="4" t="str">
        <f t="shared" si="831"/>
        <v>1,300</v>
      </c>
      <c r="AZ262" s="4" t="str">
        <f t="shared" si="832"/>
        <v>1,300</v>
      </c>
      <c r="BA262" s="4" t="str">
        <f t="shared" si="833"/>
        <v>1,300</v>
      </c>
      <c r="BB262" s="4" t="str">
        <f t="shared" si="834"/>
        <v>1,250</v>
      </c>
      <c r="BC262" s="4" t="str">
        <f t="shared" si="835"/>
        <v>1,250</v>
      </c>
      <c r="BD262" s="4" t="str">
        <f t="shared" si="836"/>
        <v>1,250</v>
      </c>
      <c r="BE262" s="4" t="str">
        <f t="shared" si="837"/>
        <v>1,250</v>
      </c>
      <c r="BF262" s="4" t="str">
        <f t="shared" si="838"/>
        <v>1,250</v>
      </c>
      <c r="BG262" s="4" t="str">
        <f t="shared" si="839"/>
        <v>1,250</v>
      </c>
      <c r="BH262" s="4" t="str">
        <f t="shared" si="840"/>
        <v>1,250</v>
      </c>
      <c r="BI262" s="4" t="str">
        <f t="shared" si="841"/>
        <v>1,250</v>
      </c>
      <c r="BJ262" s="4" t="str">
        <f t="shared" si="842"/>
        <v>1,250</v>
      </c>
    </row>
    <row r="263" customHeight="1" spans="1:62">
      <c r="A263" s="62">
        <v>1551</v>
      </c>
      <c r="B263" s="55" t="s">
        <v>114</v>
      </c>
      <c r="C263" s="64" t="s">
        <v>218</v>
      </c>
      <c r="D263" s="47" t="s">
        <v>422</v>
      </c>
      <c r="E263" s="66">
        <v>4</v>
      </c>
      <c r="F263" s="35">
        <v>1</v>
      </c>
      <c r="G263" s="35">
        <f t="shared" si="843"/>
        <v>1</v>
      </c>
      <c r="H263" s="35">
        <v>1</v>
      </c>
      <c r="I263" s="35">
        <v>1</v>
      </c>
      <c r="J263" s="35">
        <v>1</v>
      </c>
      <c r="K263" s="35">
        <v>1</v>
      </c>
      <c r="L263" s="35">
        <v>1</v>
      </c>
      <c r="M263" s="35"/>
      <c r="N263">
        <f t="shared" si="844"/>
        <v>500</v>
      </c>
      <c r="O263" s="35">
        <v>1</v>
      </c>
      <c r="P263" s="24">
        <f>ROUND(INDEX($C$2:$C$5,MATCH($E263,$B$2:$B$5,0))*$F263/SUMIFS($F:$F,$E:$E,$E263,$B:$B,$B263,O:O,1)*IF(B263=$B$10,0.9,1),0)</f>
        <v>250</v>
      </c>
      <c r="Q263" s="24">
        <f t="shared" ref="Q263:U263" si="1085">IF($L263&lt;=Q$8,1,0)</f>
        <v>1</v>
      </c>
      <c r="R263" s="24">
        <f>ROUND(INDEX($C$2:$C$5,MATCH($E263,$B$2:$B$5,0))*$I263/SUMIFS($I:$I,$E:$E,$E263,$B:$B,$B263,Q:Q,1)*IF(B263=$B$10,0.9,1),0)</f>
        <v>500</v>
      </c>
      <c r="S263" s="24">
        <f t="shared" si="1085"/>
        <v>1</v>
      </c>
      <c r="T263" s="24">
        <f>ROUND(INDEX($C$2:$C$5,MATCH($E263,$B$2:$B$5,0))*$J263/SUMIFS($J:$J,$E:$E,$E263,$B:$B,$B263,S:S,1)*IF(B263=$B$10,0.9,1),0)</f>
        <v>500</v>
      </c>
      <c r="U263" s="24">
        <f t="shared" si="1085"/>
        <v>1</v>
      </c>
      <c r="V263" s="24">
        <f>ROUND(INDEX($C$2:$C$5,MATCH($E263,$B$2:$B$5,0))*$K263/SUMIFS($K:$K,$E:$E,$E263,$B:$B,$B263,U:U,1)*IF(B263=$B$10,0.9,1),0)</f>
        <v>500</v>
      </c>
      <c r="W263" s="24">
        <f t="shared" ref="W263:AA263" si="1086">IF($L263&lt;=W$8,1,0)</f>
        <v>1</v>
      </c>
      <c r="X263" s="24">
        <f>ROUND(INDEX($C$2:$C$5,MATCH($E263,$B$2:$B$5,0))*$F263/SUMIFS($F:$F,$E:$E,$E263,$B:$B,$B263,W:W,1)*IF(B263=$B$10,0.9,1),0)</f>
        <v>500</v>
      </c>
      <c r="Y263" s="24">
        <f t="shared" si="1086"/>
        <v>1</v>
      </c>
      <c r="Z263" s="24">
        <f>ROUND(INDEX($C$2:$C$5,MATCH($E263,$B$2:$B$5,0))*$G263/SUMIFS($G:$G,$E:$E,$E263,$B:$B,$B263,Y:Y,1)*IF(B263=$B$10,0.9,1),0)</f>
        <v>500</v>
      </c>
      <c r="AA263" s="24">
        <f t="shared" si="1086"/>
        <v>1</v>
      </c>
      <c r="AB263" s="24">
        <f>ROUND(INDEX($C$2:$C$5,MATCH($E263,$B$2:$B$5,0))*$H263/SUMIFS($H:$H,$E:$E,$E263,$B:$B,$B263,AA:AA,1)*IF(B263=$B$10,0.9,1),0)</f>
        <v>500</v>
      </c>
      <c r="AC263" s="24">
        <f t="shared" ref="AC263:AG263" si="1087">IF($L263&lt;=AC$8,1,0)</f>
        <v>1</v>
      </c>
      <c r="AD263" s="24">
        <f>ROUND(INDEX($C$2:$C$5,MATCH($E263,$B$2:$B$5,0))*$F263/SUMIFS($F:$F,$E:$E,$E263,$B:$B,$B263,AC:AC,1)*IF(B263=$B$10,0.9,1),0)</f>
        <v>250</v>
      </c>
      <c r="AE263" s="24">
        <f t="shared" si="1087"/>
        <v>1</v>
      </c>
      <c r="AF263" s="24">
        <f>ROUND(INDEX($C$2:$C$5,MATCH($E263,$B$2:$B$5,0))*$G263/SUMIFS($G:$G,$E:$E,$E263,$B:$B,$B263,AE:AE,1)*IF(B263=$B$10,0.9,1),0)</f>
        <v>250</v>
      </c>
      <c r="AG263" s="24">
        <f t="shared" si="1087"/>
        <v>1</v>
      </c>
      <c r="AH263" s="24">
        <f>ROUND(INDEX($C$2:$C$5,MATCH($E263,$B$2:$B$5,0))*$H263/SUMIFS($H:$H,$E:$E,$E263,$B:$B,$B263,AG:AG,1)*IF(B263=$B$10,0.9,1),0)</f>
        <v>250</v>
      </c>
      <c r="AI263" s="24">
        <f t="shared" ref="AI263:AM263" si="1088">IF($L263&lt;=AI$8,1,0)</f>
        <v>1</v>
      </c>
      <c r="AJ263" s="24">
        <f>ROUND(INDEX($C$2:$C$5,MATCH($E263,$B$2:$B$5,0))*$F263/SUMIFS($F:$F,$E:$E,$E263,$B:$B,$B263,AI:AI,1)*IF(B263=$B$10,0.9,1),0)</f>
        <v>250</v>
      </c>
      <c r="AK263" s="24">
        <f t="shared" si="1088"/>
        <v>1</v>
      </c>
      <c r="AL263" s="24">
        <f>ROUND(INDEX($C$2:$C$5,MATCH($E263,$B$2:$B$5,0))*$G263/SUMIFS($G:$G,$E:$E,$E263,$B:$B,$B263,AK:AK,1)*IF(B263=$B$10,0.9,1),0)</f>
        <v>250</v>
      </c>
      <c r="AM263" s="24">
        <f t="shared" si="1088"/>
        <v>1</v>
      </c>
      <c r="AN263" s="24">
        <f>ROUND(INDEX($C$2:$C$5,MATCH($E263,$B$2:$B$5,0))*$H263/SUMIFS($H:$H,$E:$E,$E263,$B:$B,$B263,AM:AM,1)*IF(B263=$B$10,0.9,1),0)</f>
        <v>250</v>
      </c>
      <c r="AX263" s="4" t="str">
        <f t="shared" si="830"/>
        <v>1,250</v>
      </c>
      <c r="AY263" s="4" t="str">
        <f t="shared" si="831"/>
        <v>1,500</v>
      </c>
      <c r="AZ263" s="4" t="str">
        <f t="shared" si="832"/>
        <v>1,500</v>
      </c>
      <c r="BA263" s="4" t="str">
        <f t="shared" si="833"/>
        <v>1,500</v>
      </c>
      <c r="BB263" s="4" t="str">
        <f t="shared" si="834"/>
        <v>1,500</v>
      </c>
      <c r="BC263" s="4" t="str">
        <f t="shared" si="835"/>
        <v>1,500</v>
      </c>
      <c r="BD263" s="4" t="str">
        <f t="shared" si="836"/>
        <v>1,500</v>
      </c>
      <c r="BE263" s="4" t="str">
        <f t="shared" si="837"/>
        <v>1,250</v>
      </c>
      <c r="BF263" s="4" t="str">
        <f t="shared" si="838"/>
        <v>1,250</v>
      </c>
      <c r="BG263" s="4" t="str">
        <f t="shared" si="839"/>
        <v>1,250</v>
      </c>
      <c r="BH263" s="4" t="str">
        <f t="shared" si="840"/>
        <v>1,250</v>
      </c>
      <c r="BI263" s="4" t="str">
        <f t="shared" si="841"/>
        <v>1,250</v>
      </c>
      <c r="BJ263" s="4" t="str">
        <f t="shared" si="842"/>
        <v>1,250</v>
      </c>
    </row>
    <row r="264" customHeight="1" spans="1:62">
      <c r="A264" s="62">
        <v>1552</v>
      </c>
      <c r="B264" s="55" t="s">
        <v>114</v>
      </c>
      <c r="C264" s="64" t="s">
        <v>218</v>
      </c>
      <c r="D264" s="48" t="s">
        <v>423</v>
      </c>
      <c r="E264" s="66">
        <v>4</v>
      </c>
      <c r="F264" s="35">
        <v>1</v>
      </c>
      <c r="G264" s="35">
        <f t="shared" si="843"/>
        <v>1</v>
      </c>
      <c r="H264" s="35">
        <v>1</v>
      </c>
      <c r="I264" s="35">
        <v>1</v>
      </c>
      <c r="J264" s="35">
        <v>1</v>
      </c>
      <c r="K264" s="35">
        <v>1</v>
      </c>
      <c r="L264" s="35">
        <v>3</v>
      </c>
      <c r="M264" s="35"/>
      <c r="N264">
        <f t="shared" si="844"/>
        <v>500</v>
      </c>
      <c r="O264" s="35">
        <v>1</v>
      </c>
      <c r="P264" s="24">
        <f>ROUND(INDEX($C$2:$C$5,MATCH($E264,$B$2:$B$5,0))*$F264/SUMIFS($F:$F,$E:$E,$E264,$B:$B,$B264,O:O,1)*IF(B264=$B$10,0.9,1),0)</f>
        <v>250</v>
      </c>
      <c r="Q264" s="24">
        <f t="shared" ref="Q264:U264" si="1089">IF($L264&lt;=Q$8,1,0)</f>
        <v>0</v>
      </c>
      <c r="R264" s="24">
        <f>ROUND(INDEX($C$2:$C$5,MATCH($E264,$B$2:$B$5,0))*$I264/SUMIFS($I:$I,$E:$E,$E264,$B:$B,$B264,Q:Q,1)*IF(B264=$B$10,0.9,1),0)</f>
        <v>500</v>
      </c>
      <c r="S264" s="24">
        <f t="shared" si="1089"/>
        <v>0</v>
      </c>
      <c r="T264" s="24">
        <f>ROUND(INDEX($C$2:$C$5,MATCH($E264,$B$2:$B$5,0))*$J264/SUMIFS($J:$J,$E:$E,$E264,$B:$B,$B264,S:S,1)*IF(B264=$B$10,0.9,1),0)</f>
        <v>500</v>
      </c>
      <c r="U264" s="24">
        <f t="shared" si="1089"/>
        <v>0</v>
      </c>
      <c r="V264" s="24">
        <f>ROUND(INDEX($C$2:$C$5,MATCH($E264,$B$2:$B$5,0))*$K264/SUMIFS($K:$K,$E:$E,$E264,$B:$B,$B264,U:U,1)*IF(B264=$B$10,0.9,1),0)</f>
        <v>500</v>
      </c>
      <c r="W264" s="24">
        <f t="shared" ref="W264:AA264" si="1090">IF($L264&lt;=W$8,1,0)</f>
        <v>0</v>
      </c>
      <c r="X264" s="24">
        <f>ROUND(INDEX($C$2:$C$5,MATCH($E264,$B$2:$B$5,0))*$F264/SUMIFS($F:$F,$E:$E,$E264,$B:$B,$B264,W:W,1)*IF(B264=$B$10,0.9,1),0)</f>
        <v>500</v>
      </c>
      <c r="Y264" s="24">
        <f t="shared" si="1090"/>
        <v>0</v>
      </c>
      <c r="Z264" s="24">
        <f>ROUND(INDEX($C$2:$C$5,MATCH($E264,$B$2:$B$5,0))*$G264/SUMIFS($G:$G,$E:$E,$E264,$B:$B,$B264,Y:Y,1)*IF(B264=$B$10,0.9,1),0)</f>
        <v>500</v>
      </c>
      <c r="AA264" s="24">
        <f t="shared" si="1090"/>
        <v>0</v>
      </c>
      <c r="AB264" s="24">
        <f>ROUND(INDEX($C$2:$C$5,MATCH($E264,$B$2:$B$5,0))*$H264/SUMIFS($H:$H,$E:$E,$E264,$B:$B,$B264,AA:AA,1)*IF(B264=$B$10,0.9,1),0)</f>
        <v>500</v>
      </c>
      <c r="AC264" s="24">
        <f t="shared" ref="AC264:AG264" si="1091">IF($L264&lt;=AC$8,1,0)</f>
        <v>1</v>
      </c>
      <c r="AD264" s="24">
        <f>ROUND(INDEX($C$2:$C$5,MATCH($E264,$B$2:$B$5,0))*$F264/SUMIFS($F:$F,$E:$E,$E264,$B:$B,$B264,AC:AC,1)*IF(B264=$B$10,0.9,1),0)</f>
        <v>250</v>
      </c>
      <c r="AE264" s="24">
        <f t="shared" si="1091"/>
        <v>1</v>
      </c>
      <c r="AF264" s="24">
        <f>ROUND(INDEX($C$2:$C$5,MATCH($E264,$B$2:$B$5,0))*$G264/SUMIFS($G:$G,$E:$E,$E264,$B:$B,$B264,AE:AE,1)*IF(B264=$B$10,0.9,1),0)</f>
        <v>250</v>
      </c>
      <c r="AG264" s="24">
        <f t="shared" si="1091"/>
        <v>1</v>
      </c>
      <c r="AH264" s="24">
        <f>ROUND(INDEX($C$2:$C$5,MATCH($E264,$B$2:$B$5,0))*$H264/SUMIFS($H:$H,$E:$E,$E264,$B:$B,$B264,AG:AG,1)*IF(B264=$B$10,0.9,1),0)</f>
        <v>250</v>
      </c>
      <c r="AI264" s="24">
        <f t="shared" ref="AI264:AM264" si="1092">IF($L264&lt;=AI$8,1,0)</f>
        <v>1</v>
      </c>
      <c r="AJ264" s="24">
        <f>ROUND(INDEX($C$2:$C$5,MATCH($E264,$B$2:$B$5,0))*$F264/SUMIFS($F:$F,$E:$E,$E264,$B:$B,$B264,AI:AI,1)*IF(B264=$B$10,0.9,1),0)</f>
        <v>250</v>
      </c>
      <c r="AK264" s="24">
        <f t="shared" si="1092"/>
        <v>1</v>
      </c>
      <c r="AL264" s="24">
        <f>ROUND(INDEX($C$2:$C$5,MATCH($E264,$B$2:$B$5,0))*$G264/SUMIFS($G:$G,$E:$E,$E264,$B:$B,$B264,AK:AK,1)*IF(B264=$B$10,0.9,1),0)</f>
        <v>250</v>
      </c>
      <c r="AM264" s="24">
        <f t="shared" si="1092"/>
        <v>1</v>
      </c>
      <c r="AN264" s="24">
        <f>ROUND(INDEX($C$2:$C$5,MATCH($E264,$B$2:$B$5,0))*$H264/SUMIFS($H:$H,$E:$E,$E264,$B:$B,$B264,AM:AM,1)*IF(B264=$B$10,0.9,1),0)</f>
        <v>250</v>
      </c>
      <c r="AX264" s="4" t="str">
        <f t="shared" si="830"/>
        <v>1,250</v>
      </c>
      <c r="AY264" s="4" t="str">
        <f t="shared" si="831"/>
        <v>0,500</v>
      </c>
      <c r="AZ264" s="4" t="str">
        <f t="shared" si="832"/>
        <v>0,500</v>
      </c>
      <c r="BA264" s="4" t="str">
        <f t="shared" si="833"/>
        <v>0,500</v>
      </c>
      <c r="BB264" s="4" t="str">
        <f t="shared" si="834"/>
        <v>0,500</v>
      </c>
      <c r="BC264" s="4" t="str">
        <f t="shared" si="835"/>
        <v>0,500</v>
      </c>
      <c r="BD264" s="4" t="str">
        <f t="shared" si="836"/>
        <v>0,500</v>
      </c>
      <c r="BE264" s="4" t="str">
        <f t="shared" si="837"/>
        <v>1,250</v>
      </c>
      <c r="BF264" s="4" t="str">
        <f t="shared" si="838"/>
        <v>1,250</v>
      </c>
      <c r="BG264" s="4" t="str">
        <f t="shared" si="839"/>
        <v>1,250</v>
      </c>
      <c r="BH264" s="4" t="str">
        <f t="shared" si="840"/>
        <v>1,250</v>
      </c>
      <c r="BI264" s="4" t="str">
        <f t="shared" si="841"/>
        <v>1,250</v>
      </c>
      <c r="BJ264" s="4" t="str">
        <f t="shared" si="842"/>
        <v>1,250</v>
      </c>
    </row>
    <row r="265" customHeight="1" spans="1:62">
      <c r="A265" s="62">
        <v>1601</v>
      </c>
      <c r="B265" s="55" t="s">
        <v>120</v>
      </c>
      <c r="C265" s="64" t="s">
        <v>218</v>
      </c>
      <c r="D265" s="41" t="s">
        <v>356</v>
      </c>
      <c r="E265" s="67">
        <v>1</v>
      </c>
      <c r="F265" s="35">
        <v>1</v>
      </c>
      <c r="G265" s="35">
        <f t="shared" si="843"/>
        <v>1</v>
      </c>
      <c r="H265" s="35">
        <v>1</v>
      </c>
      <c r="I265" s="35">
        <v>1</v>
      </c>
      <c r="J265" s="35">
        <v>1</v>
      </c>
      <c r="K265" s="35">
        <v>1</v>
      </c>
      <c r="L265" s="35">
        <v>1</v>
      </c>
      <c r="M265" s="35"/>
      <c r="N265">
        <f t="shared" si="844"/>
        <v>13500</v>
      </c>
      <c r="O265" s="35">
        <v>1</v>
      </c>
      <c r="P265" s="24">
        <f>ROUND(INDEX($C$2:$C$5,MATCH($E265,$B$2:$B$5,0))*$F265/SUMIFS($F:$F,$E:$E,$E265,$B:$B,$B265,O:O,1)*IF(B265=$B$10,0.9,1),0)</f>
        <v>4500</v>
      </c>
      <c r="Q265" s="24">
        <f t="shared" ref="Q265:U265" si="1093">IF($L265&lt;=Q$8,1,0)</f>
        <v>1</v>
      </c>
      <c r="R265" s="24">
        <f>ROUND(INDEX($C$2:$C$5,MATCH($E265,$B$2:$B$5,0))*$I265/SUMIFS($I:$I,$E:$E,$E265,$B:$B,$B265,Q:Q,1)*IF(B265=$B$10,0.9,1),0)</f>
        <v>4500</v>
      </c>
      <c r="S265" s="24">
        <f t="shared" si="1093"/>
        <v>1</v>
      </c>
      <c r="T265" s="24">
        <f>ROUND(INDEX($C$2:$C$5,MATCH($E265,$B$2:$B$5,0))*$J265/SUMIFS($J:$J,$E:$E,$E265,$B:$B,$B265,S:S,1)*IF(B265=$B$10,0.9,1),0)</f>
        <v>4500</v>
      </c>
      <c r="U265" s="24">
        <f t="shared" si="1093"/>
        <v>1</v>
      </c>
      <c r="V265" s="24">
        <f>ROUND(INDEX($C$2:$C$5,MATCH($E265,$B$2:$B$5,0))*$K265/SUMIFS($K:$K,$E:$E,$E265,$B:$B,$B265,U:U,1)*IF(B265=$B$10,0.9,1),0)</f>
        <v>4500</v>
      </c>
      <c r="W265" s="24">
        <f t="shared" ref="W265:AA265" si="1094">IF($L265&lt;=W$8,1,0)</f>
        <v>1</v>
      </c>
      <c r="X265" s="24">
        <f>ROUND(INDEX($C$2:$C$5,MATCH($E265,$B$2:$B$5,0))*$F265/SUMIFS($F:$F,$E:$E,$E265,$B:$B,$B265,W:W,1)*IF(B265=$B$10,0.9,1),0)</f>
        <v>4500</v>
      </c>
      <c r="Y265" s="24">
        <f t="shared" si="1094"/>
        <v>1</v>
      </c>
      <c r="Z265" s="24">
        <f>ROUND(INDEX($C$2:$C$5,MATCH($E265,$B$2:$B$5,0))*$G265/SUMIFS($G:$G,$E:$E,$E265,$B:$B,$B265,Y:Y,1)*IF(B265=$B$10,0.9,1),0)</f>
        <v>4500</v>
      </c>
      <c r="AA265" s="24">
        <f t="shared" si="1094"/>
        <v>1</v>
      </c>
      <c r="AB265" s="24">
        <f>ROUND(INDEX($C$2:$C$5,MATCH($E265,$B$2:$B$5,0))*$H265/SUMIFS($H:$H,$E:$E,$E265,$B:$B,$B265,AA:AA,1)*IF(B265=$B$10,0.9,1),0)</f>
        <v>4500</v>
      </c>
      <c r="AC265" s="24">
        <f t="shared" ref="AC265:AG265" si="1095">IF($L265&lt;=AC$8,1,0)</f>
        <v>1</v>
      </c>
      <c r="AD265" s="24">
        <f>ROUND(INDEX($C$2:$C$5,MATCH($E265,$B$2:$B$5,0))*$F265/SUMIFS($F:$F,$E:$E,$E265,$B:$B,$B265,AC:AC,1)*IF(B265=$B$10,0.9,1),0)</f>
        <v>4500</v>
      </c>
      <c r="AE265" s="24">
        <f t="shared" si="1095"/>
        <v>1</v>
      </c>
      <c r="AF265" s="24">
        <f>ROUND(INDEX($C$2:$C$5,MATCH($E265,$B$2:$B$5,0))*$G265/SUMIFS($G:$G,$E:$E,$E265,$B:$B,$B265,AE:AE,1)*IF(B265=$B$10,0.9,1),0)</f>
        <v>4500</v>
      </c>
      <c r="AG265" s="24">
        <f t="shared" si="1095"/>
        <v>1</v>
      </c>
      <c r="AH265" s="24">
        <f>ROUND(INDEX($C$2:$C$5,MATCH($E265,$B$2:$B$5,0))*$H265/SUMIFS($H:$H,$E:$E,$E265,$B:$B,$B265,AG:AG,1)*IF(B265=$B$10,0.9,1),0)</f>
        <v>4500</v>
      </c>
      <c r="AI265" s="24">
        <f t="shared" ref="AI265:AM265" si="1096">IF($L265&lt;=AI$8,1,0)</f>
        <v>1</v>
      </c>
      <c r="AJ265" s="24">
        <f>ROUND(INDEX($C$2:$C$5,MATCH($E265,$B$2:$B$5,0))*$F265/SUMIFS($F:$F,$E:$E,$E265,$B:$B,$B265,AI:AI,1)*IF(B265=$B$10,0.9,1),0)</f>
        <v>4500</v>
      </c>
      <c r="AK265" s="24">
        <f t="shared" si="1096"/>
        <v>1</v>
      </c>
      <c r="AL265" s="24">
        <f>ROUND(INDEX($C$2:$C$5,MATCH($E265,$B$2:$B$5,0))*$G265/SUMIFS($G:$G,$E:$E,$E265,$B:$B,$B265,AK:AK,1)*IF(B265=$B$10,0.9,1),0)</f>
        <v>4500</v>
      </c>
      <c r="AM265" s="24">
        <f t="shared" si="1096"/>
        <v>1</v>
      </c>
      <c r="AN265" s="24">
        <f>ROUND(INDEX($C$2:$C$5,MATCH($E265,$B$2:$B$5,0))*$H265/SUMIFS($H:$H,$E:$E,$E265,$B:$B,$B265,AM:AM,1)*IF(B265=$B$10,0.9,1),0)</f>
        <v>4500</v>
      </c>
      <c r="AX265" s="4" t="str">
        <f t="shared" si="830"/>
        <v>1,4500</v>
      </c>
      <c r="AY265" s="4" t="str">
        <f t="shared" si="831"/>
        <v>1,4500</v>
      </c>
      <c r="AZ265" s="4" t="str">
        <f t="shared" si="832"/>
        <v>1,4500</v>
      </c>
      <c r="BA265" s="4" t="str">
        <f t="shared" si="833"/>
        <v>1,4500</v>
      </c>
      <c r="BB265" s="4" t="str">
        <f t="shared" si="834"/>
        <v>1,4500</v>
      </c>
      <c r="BC265" s="4" t="str">
        <f t="shared" si="835"/>
        <v>1,4500</v>
      </c>
      <c r="BD265" s="4" t="str">
        <f t="shared" si="836"/>
        <v>1,4500</v>
      </c>
      <c r="BE265" s="4" t="str">
        <f t="shared" si="837"/>
        <v>1,4500</v>
      </c>
      <c r="BF265" s="4" t="str">
        <f t="shared" si="838"/>
        <v>1,4500</v>
      </c>
      <c r="BG265" s="4" t="str">
        <f t="shared" si="839"/>
        <v>1,4500</v>
      </c>
      <c r="BH265" s="4" t="str">
        <f t="shared" si="840"/>
        <v>1,4500</v>
      </c>
      <c r="BI265" s="4" t="str">
        <f t="shared" si="841"/>
        <v>1,4500</v>
      </c>
      <c r="BJ265" s="4" t="str">
        <f t="shared" si="842"/>
        <v>1,4500</v>
      </c>
    </row>
    <row r="266" customHeight="1" spans="1:62">
      <c r="A266" s="62">
        <v>1602</v>
      </c>
      <c r="B266" s="55" t="s">
        <v>120</v>
      </c>
      <c r="C266" s="64" t="s">
        <v>218</v>
      </c>
      <c r="D266" s="41" t="s">
        <v>357</v>
      </c>
      <c r="E266" s="67">
        <v>1</v>
      </c>
      <c r="F266" s="35">
        <v>1</v>
      </c>
      <c r="G266" s="35">
        <f t="shared" si="843"/>
        <v>1</v>
      </c>
      <c r="H266" s="35">
        <v>1</v>
      </c>
      <c r="I266" s="35">
        <v>1</v>
      </c>
      <c r="J266" s="35">
        <v>1</v>
      </c>
      <c r="K266" s="35">
        <v>1</v>
      </c>
      <c r="L266" s="35">
        <v>1</v>
      </c>
      <c r="M266" s="35"/>
      <c r="N266">
        <f t="shared" si="844"/>
        <v>13500</v>
      </c>
      <c r="O266" s="35">
        <v>1</v>
      </c>
      <c r="P266" s="24">
        <f>ROUND(INDEX($C$2:$C$5,MATCH($E266,$B$2:$B$5,0))*$F266/SUMIFS($F:$F,$E:$E,$E266,$B:$B,$B266,O:O,1)*IF(B266=$B$10,0.9,1),0)</f>
        <v>4500</v>
      </c>
      <c r="Q266" s="24">
        <f t="shared" ref="Q266:U266" si="1097">IF($L266&lt;=Q$8,1,0)</f>
        <v>1</v>
      </c>
      <c r="R266" s="24">
        <f>ROUND(INDEX($C$2:$C$5,MATCH($E266,$B$2:$B$5,0))*$I266/SUMIFS($I:$I,$E:$E,$E266,$B:$B,$B266,Q:Q,1)*IF(B266=$B$10,0.9,1),0)</f>
        <v>4500</v>
      </c>
      <c r="S266" s="24">
        <f t="shared" si="1097"/>
        <v>1</v>
      </c>
      <c r="T266" s="24">
        <f>ROUND(INDEX($C$2:$C$5,MATCH($E266,$B$2:$B$5,0))*$J266/SUMIFS($J:$J,$E:$E,$E266,$B:$B,$B266,S:S,1)*IF(B266=$B$10,0.9,1),0)</f>
        <v>4500</v>
      </c>
      <c r="U266" s="24">
        <f t="shared" si="1097"/>
        <v>1</v>
      </c>
      <c r="V266" s="24">
        <f>ROUND(INDEX($C$2:$C$5,MATCH($E266,$B$2:$B$5,0))*$K266/SUMIFS($K:$K,$E:$E,$E266,$B:$B,$B266,U:U,1)*IF(B266=$B$10,0.9,1),0)</f>
        <v>4500</v>
      </c>
      <c r="W266" s="24">
        <f t="shared" ref="W266:AA266" si="1098">IF($L266&lt;=W$8,1,0)</f>
        <v>1</v>
      </c>
      <c r="X266" s="24">
        <f>ROUND(INDEX($C$2:$C$5,MATCH($E266,$B$2:$B$5,0))*$F266/SUMIFS($F:$F,$E:$E,$E266,$B:$B,$B266,W:W,1)*IF(B266=$B$10,0.9,1),0)</f>
        <v>4500</v>
      </c>
      <c r="Y266" s="24">
        <f t="shared" si="1098"/>
        <v>1</v>
      </c>
      <c r="Z266" s="24">
        <f>ROUND(INDEX($C$2:$C$5,MATCH($E266,$B$2:$B$5,0))*$G266/SUMIFS($G:$G,$E:$E,$E266,$B:$B,$B266,Y:Y,1)*IF(B266=$B$10,0.9,1),0)</f>
        <v>4500</v>
      </c>
      <c r="AA266" s="24">
        <f t="shared" si="1098"/>
        <v>1</v>
      </c>
      <c r="AB266" s="24">
        <f>ROUND(INDEX($C$2:$C$5,MATCH($E266,$B$2:$B$5,0))*$H266/SUMIFS($H:$H,$E:$E,$E266,$B:$B,$B266,AA:AA,1)*IF(B266=$B$10,0.9,1),0)</f>
        <v>4500</v>
      </c>
      <c r="AC266" s="24">
        <f t="shared" ref="AC266:AG266" si="1099">IF($L266&lt;=AC$8,1,0)</f>
        <v>1</v>
      </c>
      <c r="AD266" s="24">
        <f>ROUND(INDEX($C$2:$C$5,MATCH($E266,$B$2:$B$5,0))*$F266/SUMIFS($F:$F,$E:$E,$E266,$B:$B,$B266,AC:AC,1)*IF(B266=$B$10,0.9,1),0)</f>
        <v>4500</v>
      </c>
      <c r="AE266" s="24">
        <f t="shared" si="1099"/>
        <v>1</v>
      </c>
      <c r="AF266" s="24">
        <f>ROUND(INDEX($C$2:$C$5,MATCH($E266,$B$2:$B$5,0))*$G266/SUMIFS($G:$G,$E:$E,$E266,$B:$B,$B266,AE:AE,1)*IF(B266=$B$10,0.9,1),0)</f>
        <v>4500</v>
      </c>
      <c r="AG266" s="24">
        <f t="shared" si="1099"/>
        <v>1</v>
      </c>
      <c r="AH266" s="24">
        <f>ROUND(INDEX($C$2:$C$5,MATCH($E266,$B$2:$B$5,0))*$H266/SUMIFS($H:$H,$E:$E,$E266,$B:$B,$B266,AG:AG,1)*IF(B266=$B$10,0.9,1),0)</f>
        <v>4500</v>
      </c>
      <c r="AI266" s="24">
        <f t="shared" ref="AI266:AM266" si="1100">IF($L266&lt;=AI$8,1,0)</f>
        <v>1</v>
      </c>
      <c r="AJ266" s="24">
        <f>ROUND(INDEX($C$2:$C$5,MATCH($E266,$B$2:$B$5,0))*$F266/SUMIFS($F:$F,$E:$E,$E266,$B:$B,$B266,AI:AI,1)*IF(B266=$B$10,0.9,1),0)</f>
        <v>4500</v>
      </c>
      <c r="AK266" s="24">
        <f t="shared" si="1100"/>
        <v>1</v>
      </c>
      <c r="AL266" s="24">
        <f>ROUND(INDEX($C$2:$C$5,MATCH($E266,$B$2:$B$5,0))*$G266/SUMIFS($G:$G,$E:$E,$E266,$B:$B,$B266,AK:AK,1)*IF(B266=$B$10,0.9,1),0)</f>
        <v>4500</v>
      </c>
      <c r="AM266" s="24">
        <f t="shared" si="1100"/>
        <v>1</v>
      </c>
      <c r="AN266" s="24">
        <f>ROUND(INDEX($C$2:$C$5,MATCH($E266,$B$2:$B$5,0))*$H266/SUMIFS($H:$H,$E:$E,$E266,$B:$B,$B266,AM:AM,1)*IF(B266=$B$10,0.9,1),0)</f>
        <v>4500</v>
      </c>
      <c r="AX266" s="4" t="str">
        <f t="shared" ref="AX266:AX329" si="1101">_xlfn.TEXTJOIN(",",TRUE,O266:P266)</f>
        <v>1,4500</v>
      </c>
      <c r="AY266" s="4" t="str">
        <f t="shared" ref="AY266:AY329" si="1102">_xlfn.TEXTJOIN(",",TRUE,Q266:R266)</f>
        <v>1,4500</v>
      </c>
      <c r="AZ266" s="4" t="str">
        <f t="shared" ref="AZ266:AZ329" si="1103">_xlfn.TEXTJOIN(",",TRUE,S266:T266)</f>
        <v>1,4500</v>
      </c>
      <c r="BA266" s="4" t="str">
        <f t="shared" ref="BA266:BA329" si="1104">_xlfn.TEXTJOIN(",",TRUE,U266:V266)</f>
        <v>1,4500</v>
      </c>
      <c r="BB266" s="4" t="str">
        <f t="shared" ref="BB266:BB329" si="1105">_xlfn.TEXTJOIN(",",TRUE,W266:X266)</f>
        <v>1,4500</v>
      </c>
      <c r="BC266" s="4" t="str">
        <f t="shared" ref="BC266:BC329" si="1106">_xlfn.TEXTJOIN(",",TRUE,Y266:Z266)</f>
        <v>1,4500</v>
      </c>
      <c r="BD266" s="4" t="str">
        <f t="shared" ref="BD266:BD329" si="1107">_xlfn.TEXTJOIN(",",TRUE,AA266:AB266)</f>
        <v>1,4500</v>
      </c>
      <c r="BE266" s="4" t="str">
        <f t="shared" ref="BE266:BE329" si="1108">_xlfn.TEXTJOIN(",",TRUE,AC266:AD266)</f>
        <v>1,4500</v>
      </c>
      <c r="BF266" s="4" t="str">
        <f t="shared" ref="BF266:BF329" si="1109">_xlfn.TEXTJOIN(",",TRUE,AE266:AF266)</f>
        <v>1,4500</v>
      </c>
      <c r="BG266" s="4" t="str">
        <f t="shared" ref="BG266:BG329" si="1110">_xlfn.TEXTJOIN(",",TRUE,AG266:AH266)</f>
        <v>1,4500</v>
      </c>
      <c r="BH266" s="4" t="str">
        <f t="shared" ref="BH266:BH329" si="1111">_xlfn.TEXTJOIN(",",TRUE,AI266:AJ266)</f>
        <v>1,4500</v>
      </c>
      <c r="BI266" s="4" t="str">
        <f t="shared" ref="BI266:BI329" si="1112">_xlfn.TEXTJOIN(",",TRUE,AK266:AL266)</f>
        <v>1,4500</v>
      </c>
      <c r="BJ266" s="4" t="str">
        <f t="shared" ref="BJ266:BJ329" si="1113">_xlfn.TEXTJOIN(",",TRUE,AM266:AN266)</f>
        <v>1,4500</v>
      </c>
    </row>
    <row r="267" customHeight="1" spans="1:62">
      <c r="A267" s="62">
        <v>1603</v>
      </c>
      <c r="B267" s="55" t="s">
        <v>120</v>
      </c>
      <c r="C267" s="64"/>
      <c r="D267" s="41" t="s">
        <v>361</v>
      </c>
      <c r="E267" s="62">
        <v>1</v>
      </c>
      <c r="F267" s="35">
        <v>1</v>
      </c>
      <c r="G267" s="35">
        <f t="shared" ref="G267:G330" si="1114">IF(F267&lt;1,F267*$G$7,1)</f>
        <v>1</v>
      </c>
      <c r="H267" s="35">
        <v>1</v>
      </c>
      <c r="I267" s="35">
        <v>1</v>
      </c>
      <c r="J267" s="35">
        <v>1</v>
      </c>
      <c r="K267" s="35">
        <v>1</v>
      </c>
      <c r="L267" s="35">
        <v>1</v>
      </c>
      <c r="M267" s="35"/>
      <c r="N267">
        <f>INDEX($C$2:$C$5,MATCH(E267,$B$2:$B$5,0))</f>
        <v>13500</v>
      </c>
      <c r="O267" s="35">
        <v>1</v>
      </c>
      <c r="P267" s="24">
        <f>ROUND(INDEX($C$2:$C$5,MATCH($E267,$B$2:$B$5,0))*$F267/SUMIFS($F:$F,$E:$E,$E267,$B:$B,$B267,O:O,1)*IF(B267=$B$10,0.9,1),0)</f>
        <v>4500</v>
      </c>
      <c r="Q267" s="24">
        <f t="shared" ref="Q267:U267" si="1115">IF($L267&lt;=Q$8,1,0)</f>
        <v>1</v>
      </c>
      <c r="R267" s="24">
        <f>ROUND(INDEX($C$2:$C$5,MATCH($E267,$B$2:$B$5,0))*$I267/SUMIFS($I:$I,$E:$E,$E267,$B:$B,$B267,Q:Q,1)*IF(B267=$B$10,0.9,1),0)</f>
        <v>4500</v>
      </c>
      <c r="S267" s="24">
        <f t="shared" si="1115"/>
        <v>1</v>
      </c>
      <c r="T267" s="24">
        <f>ROUND(INDEX($C$2:$C$5,MATCH($E267,$B$2:$B$5,0))*$J267/SUMIFS($J:$J,$E:$E,$E267,$B:$B,$B267,S:S,1)*IF(B267=$B$10,0.9,1),0)</f>
        <v>4500</v>
      </c>
      <c r="U267" s="24">
        <f t="shared" si="1115"/>
        <v>1</v>
      </c>
      <c r="V267" s="24">
        <f>ROUND(INDEX($C$2:$C$5,MATCH($E267,$B$2:$B$5,0))*$K267/SUMIFS($K:$K,$E:$E,$E267,$B:$B,$B267,U:U,1)*IF(B267=$B$10,0.9,1),0)</f>
        <v>4500</v>
      </c>
      <c r="W267" s="24">
        <f t="shared" ref="W267:AA267" si="1116">IF($L267&lt;=W$8,1,0)</f>
        <v>1</v>
      </c>
      <c r="X267" s="24">
        <f>ROUND(INDEX($C$2:$C$5,MATCH($E267,$B$2:$B$5,0))*$F267/SUMIFS($F:$F,$E:$E,$E267,$B:$B,$B267,W:W,1)*IF(B267=$B$10,0.9,1),0)</f>
        <v>4500</v>
      </c>
      <c r="Y267" s="24">
        <f t="shared" si="1116"/>
        <v>1</v>
      </c>
      <c r="Z267" s="24">
        <f>ROUND(INDEX($C$2:$C$5,MATCH($E267,$B$2:$B$5,0))*$G267/SUMIFS($G:$G,$E:$E,$E267,$B:$B,$B267,Y:Y,1)*IF(B267=$B$10,0.9,1),0)</f>
        <v>4500</v>
      </c>
      <c r="AA267" s="24">
        <f t="shared" si="1116"/>
        <v>1</v>
      </c>
      <c r="AB267" s="24">
        <f>ROUND(INDEX($C$2:$C$5,MATCH($E267,$B$2:$B$5,0))*$H267/SUMIFS($H:$H,$E:$E,$E267,$B:$B,$B267,AA:AA,1)*IF(B267=$B$10,0.9,1),0)</f>
        <v>4500</v>
      </c>
      <c r="AC267" s="24">
        <f t="shared" ref="AC267:AG267" si="1117">IF($L267&lt;=AC$8,1,0)</f>
        <v>1</v>
      </c>
      <c r="AD267" s="24">
        <f>ROUND(INDEX($C$2:$C$5,MATCH($E267,$B$2:$B$5,0))*$F267/SUMIFS($F:$F,$E:$E,$E267,$B:$B,$B267,AC:AC,1)*IF(B267=$B$10,0.9,1),0)</f>
        <v>4500</v>
      </c>
      <c r="AE267" s="24">
        <f t="shared" si="1117"/>
        <v>1</v>
      </c>
      <c r="AF267" s="24">
        <f>ROUND(INDEX($C$2:$C$5,MATCH($E267,$B$2:$B$5,0))*$G267/SUMIFS($G:$G,$E:$E,$E267,$B:$B,$B267,AE:AE,1)*IF(B267=$B$10,0.9,1),0)</f>
        <v>4500</v>
      </c>
      <c r="AG267" s="24">
        <f t="shared" si="1117"/>
        <v>1</v>
      </c>
      <c r="AH267" s="24">
        <f>ROUND(INDEX($C$2:$C$5,MATCH($E267,$B$2:$B$5,0))*$H267/SUMIFS($H:$H,$E:$E,$E267,$B:$B,$B267,AG:AG,1)*IF(B267=$B$10,0.9,1),0)</f>
        <v>4500</v>
      </c>
      <c r="AI267" s="24">
        <f t="shared" ref="AI267:AM267" si="1118">IF($L267&lt;=AI$8,1,0)</f>
        <v>1</v>
      </c>
      <c r="AJ267" s="24">
        <f>ROUND(INDEX($C$2:$C$5,MATCH($E267,$B$2:$B$5,0))*$F267/SUMIFS($F:$F,$E:$E,$E267,$B:$B,$B267,AI:AI,1)*IF(B267=$B$10,0.9,1),0)</f>
        <v>4500</v>
      </c>
      <c r="AK267" s="24">
        <f t="shared" si="1118"/>
        <v>1</v>
      </c>
      <c r="AL267" s="24">
        <f>ROUND(INDEX($C$2:$C$5,MATCH($E267,$B$2:$B$5,0))*$G267/SUMIFS($G:$G,$E:$E,$E267,$B:$B,$B267,AK:AK,1)*IF(B267=$B$10,0.9,1),0)</f>
        <v>4500</v>
      </c>
      <c r="AM267" s="24">
        <f t="shared" si="1118"/>
        <v>1</v>
      </c>
      <c r="AN267" s="24">
        <f>ROUND(INDEX($C$2:$C$5,MATCH($E267,$B$2:$B$5,0))*$H267/SUMIFS($H:$H,$E:$E,$E267,$B:$B,$B267,AM:AM,1)*IF(B267=$B$10,0.9,1),0)</f>
        <v>4500</v>
      </c>
      <c r="AX267" s="4" t="str">
        <f t="shared" si="1101"/>
        <v>1,4500</v>
      </c>
      <c r="AY267" s="4" t="str">
        <f t="shared" si="1102"/>
        <v>1,4500</v>
      </c>
      <c r="AZ267" s="4" t="str">
        <f t="shared" si="1103"/>
        <v>1,4500</v>
      </c>
      <c r="BA267" s="4" t="str">
        <f t="shared" si="1104"/>
        <v>1,4500</v>
      </c>
      <c r="BB267" s="4" t="str">
        <f t="shared" si="1105"/>
        <v>1,4500</v>
      </c>
      <c r="BC267" s="4" t="str">
        <f t="shared" si="1106"/>
        <v>1,4500</v>
      </c>
      <c r="BD267" s="4" t="str">
        <f t="shared" si="1107"/>
        <v>1,4500</v>
      </c>
      <c r="BE267" s="4" t="str">
        <f t="shared" si="1108"/>
        <v>1,4500</v>
      </c>
      <c r="BF267" s="4" t="str">
        <f t="shared" si="1109"/>
        <v>1,4500</v>
      </c>
      <c r="BG267" s="4" t="str">
        <f t="shared" si="1110"/>
        <v>1,4500</v>
      </c>
      <c r="BH267" s="4" t="str">
        <f t="shared" si="1111"/>
        <v>1,4500</v>
      </c>
      <c r="BI267" s="4" t="str">
        <f t="shared" si="1112"/>
        <v>1,4500</v>
      </c>
      <c r="BJ267" s="4" t="str">
        <f t="shared" si="1113"/>
        <v>1,4500</v>
      </c>
    </row>
    <row r="268" customHeight="1" spans="1:62">
      <c r="A268" s="62">
        <v>1611</v>
      </c>
      <c r="B268" s="55" t="s">
        <v>120</v>
      </c>
      <c r="C268" s="64"/>
      <c r="D268" s="44" t="s">
        <v>362</v>
      </c>
      <c r="E268" s="65">
        <v>2</v>
      </c>
      <c r="F268" s="35">
        <v>1</v>
      </c>
      <c r="G268" s="35">
        <f t="shared" si="1114"/>
        <v>1</v>
      </c>
      <c r="H268" s="35">
        <v>1</v>
      </c>
      <c r="I268" s="35">
        <v>1</v>
      </c>
      <c r="J268" s="35">
        <v>1</v>
      </c>
      <c r="K268" s="35">
        <v>1</v>
      </c>
      <c r="L268" s="35">
        <v>1</v>
      </c>
      <c r="M268" s="35"/>
      <c r="N268">
        <f>INDEX($C$2:$C$5,MATCH(E268,$B$2:$B$5,0))</f>
        <v>4500</v>
      </c>
      <c r="O268" s="35">
        <v>1</v>
      </c>
      <c r="P268" s="24">
        <f>ROUND(INDEX($C$2:$C$5,MATCH($E268,$B$2:$B$5,0))*$F268/SUMIFS($F:$F,$E:$E,$E268,$B:$B,$B268,O:O,1)*IF(B268=$B$10,0.9,1),0)</f>
        <v>750</v>
      </c>
      <c r="Q268" s="24">
        <f t="shared" ref="Q268:U268" si="1119">IF($L268&lt;=Q$8,1,0)</f>
        <v>1</v>
      </c>
      <c r="R268" s="24">
        <f>ROUND(INDEX($C$2:$C$5,MATCH($E268,$B$2:$B$5,0))*$I268/SUMIFS($I:$I,$E:$E,$E268,$B:$B,$B268,Q:Q,1)*IF(B268=$B$10,0.9,1),0)</f>
        <v>900</v>
      </c>
      <c r="S268" s="24">
        <f t="shared" si="1119"/>
        <v>1</v>
      </c>
      <c r="T268" s="24">
        <f>ROUND(INDEX($C$2:$C$5,MATCH($E268,$B$2:$B$5,0))*$J268/SUMIFS($J:$J,$E:$E,$E268,$B:$B,$B268,S:S,1)*IF(B268=$B$10,0.9,1),0)</f>
        <v>900</v>
      </c>
      <c r="U268" s="24">
        <f t="shared" si="1119"/>
        <v>1</v>
      </c>
      <c r="V268" s="24">
        <f>ROUND(INDEX($C$2:$C$5,MATCH($E268,$B$2:$B$5,0))*$K268/SUMIFS($K:$K,$E:$E,$E268,$B:$B,$B268,U:U,1)*IF(B268=$B$10,0.9,1),0)</f>
        <v>900</v>
      </c>
      <c r="W268" s="24">
        <f t="shared" ref="W268:AA268" si="1120">IF($L268&lt;=W$8,1,0)</f>
        <v>1</v>
      </c>
      <c r="X268" s="24">
        <f>ROUND(INDEX($C$2:$C$5,MATCH($E268,$B$2:$B$5,0))*$F268/SUMIFS($F:$F,$E:$E,$E268,$B:$B,$B268,W:W,1)*IF(B268=$B$10,0.9,1),0)</f>
        <v>750</v>
      </c>
      <c r="Y268" s="24">
        <f t="shared" si="1120"/>
        <v>1</v>
      </c>
      <c r="Z268" s="24">
        <f>ROUND(INDEX($C$2:$C$5,MATCH($E268,$B$2:$B$5,0))*$G268/SUMIFS($G:$G,$E:$E,$E268,$B:$B,$B268,Y:Y,1)*IF(B268=$B$10,0.9,1),0)</f>
        <v>750</v>
      </c>
      <c r="AA268" s="24">
        <f t="shared" si="1120"/>
        <v>1</v>
      </c>
      <c r="AB268" s="24">
        <f>ROUND(INDEX($C$2:$C$5,MATCH($E268,$B$2:$B$5,0))*$H268/SUMIFS($H:$H,$E:$E,$E268,$B:$B,$B268,AA:AA,1)*IF(B268=$B$10,0.9,1),0)</f>
        <v>750</v>
      </c>
      <c r="AC268" s="24">
        <f t="shared" ref="AC268:AG268" si="1121">IF($L268&lt;=AC$8,1,0)</f>
        <v>1</v>
      </c>
      <c r="AD268" s="24">
        <f>ROUND(INDEX($C$2:$C$5,MATCH($E268,$B$2:$B$5,0))*$F268/SUMIFS($F:$F,$E:$E,$E268,$B:$B,$B268,AC:AC,1)*IF(B268=$B$10,0.9,1),0)</f>
        <v>750</v>
      </c>
      <c r="AE268" s="24">
        <f t="shared" si="1121"/>
        <v>1</v>
      </c>
      <c r="AF268" s="24">
        <f>ROUND(INDEX($C$2:$C$5,MATCH($E268,$B$2:$B$5,0))*$G268/SUMIFS($G:$G,$E:$E,$E268,$B:$B,$B268,AE:AE,1)*IF(B268=$B$10,0.9,1),0)</f>
        <v>750</v>
      </c>
      <c r="AG268" s="24">
        <f t="shared" si="1121"/>
        <v>1</v>
      </c>
      <c r="AH268" s="24">
        <f>ROUND(INDEX($C$2:$C$5,MATCH($E268,$B$2:$B$5,0))*$H268/SUMIFS($H:$H,$E:$E,$E268,$B:$B,$B268,AG:AG,1)*IF(B268=$B$10,0.9,1),0)</f>
        <v>750</v>
      </c>
      <c r="AI268" s="24">
        <f t="shared" ref="AI268:AM268" si="1122">IF($L268&lt;=AI$8,1,0)</f>
        <v>1</v>
      </c>
      <c r="AJ268" s="24">
        <f>ROUND(INDEX($C$2:$C$5,MATCH($E268,$B$2:$B$5,0))*$F268/SUMIFS($F:$F,$E:$E,$E268,$B:$B,$B268,AI:AI,1)*IF(B268=$B$10,0.9,1),0)</f>
        <v>750</v>
      </c>
      <c r="AK268" s="24">
        <f t="shared" si="1122"/>
        <v>1</v>
      </c>
      <c r="AL268" s="24">
        <f>ROUND(INDEX($C$2:$C$5,MATCH($E268,$B$2:$B$5,0))*$G268/SUMIFS($G:$G,$E:$E,$E268,$B:$B,$B268,AK:AK,1)*IF(B268=$B$10,0.9,1),0)</f>
        <v>750</v>
      </c>
      <c r="AM268" s="24">
        <f t="shared" si="1122"/>
        <v>1</v>
      </c>
      <c r="AN268" s="24">
        <f>ROUND(INDEX($C$2:$C$5,MATCH($E268,$B$2:$B$5,0))*$H268/SUMIFS($H:$H,$E:$E,$E268,$B:$B,$B268,AM:AM,1)*IF(B268=$B$10,0.9,1),0)</f>
        <v>750</v>
      </c>
      <c r="AX268" s="4" t="str">
        <f t="shared" si="1101"/>
        <v>1,750</v>
      </c>
      <c r="AY268" s="4" t="str">
        <f t="shared" si="1102"/>
        <v>1,900</v>
      </c>
      <c r="AZ268" s="4" t="str">
        <f t="shared" si="1103"/>
        <v>1,900</v>
      </c>
      <c r="BA268" s="4" t="str">
        <f t="shared" si="1104"/>
        <v>1,900</v>
      </c>
      <c r="BB268" s="4" t="str">
        <f t="shared" si="1105"/>
        <v>1,750</v>
      </c>
      <c r="BC268" s="4" t="str">
        <f t="shared" si="1106"/>
        <v>1,750</v>
      </c>
      <c r="BD268" s="4" t="str">
        <f t="shared" si="1107"/>
        <v>1,750</v>
      </c>
      <c r="BE268" s="4" t="str">
        <f t="shared" si="1108"/>
        <v>1,750</v>
      </c>
      <c r="BF268" s="4" t="str">
        <f t="shared" si="1109"/>
        <v>1,750</v>
      </c>
      <c r="BG268" s="4" t="str">
        <f t="shared" si="1110"/>
        <v>1,750</v>
      </c>
      <c r="BH268" s="4" t="str">
        <f t="shared" si="1111"/>
        <v>1,750</v>
      </c>
      <c r="BI268" s="4" t="str">
        <f t="shared" si="1112"/>
        <v>1,750</v>
      </c>
      <c r="BJ268" s="4" t="str">
        <f t="shared" si="1113"/>
        <v>1,750</v>
      </c>
    </row>
    <row r="269" customHeight="1" spans="1:62">
      <c r="A269" s="62">
        <v>1612</v>
      </c>
      <c r="B269" s="55" t="s">
        <v>120</v>
      </c>
      <c r="C269" s="64"/>
      <c r="D269" s="44" t="s">
        <v>363</v>
      </c>
      <c r="E269" s="65">
        <v>2</v>
      </c>
      <c r="F269" s="35">
        <v>1</v>
      </c>
      <c r="G269" s="35">
        <f t="shared" si="1114"/>
        <v>1</v>
      </c>
      <c r="H269" s="35">
        <v>1</v>
      </c>
      <c r="I269" s="35">
        <v>1</v>
      </c>
      <c r="J269" s="35">
        <v>1</v>
      </c>
      <c r="K269" s="35">
        <v>1</v>
      </c>
      <c r="L269" s="35">
        <v>1</v>
      </c>
      <c r="M269" s="35" t="s">
        <v>136</v>
      </c>
      <c r="N269">
        <f>INDEX($C$2:$C$5,MATCH(E269,$B$2:$B$5,0))</f>
        <v>4500</v>
      </c>
      <c r="O269" s="35">
        <v>1</v>
      </c>
      <c r="P269" s="24">
        <f>ROUND(INDEX($C$2:$C$5,MATCH($E269,$B$2:$B$5,0))*$F269/SUMIFS($F:$F,$E:$E,$E269,$B:$B,$B269,O:O,1)*IF(B269=$B$10,0.9,1),0)</f>
        <v>750</v>
      </c>
      <c r="Q269" s="24">
        <f t="shared" ref="Q269:U269" si="1123">IF($L269&lt;=Q$8,1,0)</f>
        <v>1</v>
      </c>
      <c r="R269" s="24">
        <f>ROUND(INDEX($C$2:$C$5,MATCH($E269,$B$2:$B$5,0))*$I269/SUMIFS($I:$I,$E:$E,$E269,$B:$B,$B269,Q:Q,1)*IF(B269=$B$10,0.9,1),0)</f>
        <v>900</v>
      </c>
      <c r="S269" s="24">
        <f t="shared" si="1123"/>
        <v>1</v>
      </c>
      <c r="T269" s="24">
        <f>ROUND(INDEX($C$2:$C$5,MATCH($E269,$B$2:$B$5,0))*$J269/SUMIFS($J:$J,$E:$E,$E269,$B:$B,$B269,S:S,1)*IF(B269=$B$10,0.9,1),0)</f>
        <v>900</v>
      </c>
      <c r="U269" s="24">
        <f t="shared" si="1123"/>
        <v>1</v>
      </c>
      <c r="V269" s="24">
        <f>ROUND(INDEX($C$2:$C$5,MATCH($E269,$B$2:$B$5,0))*$K269/SUMIFS($K:$K,$E:$E,$E269,$B:$B,$B269,U:U,1)*IF(B269=$B$10,0.9,1),0)</f>
        <v>900</v>
      </c>
      <c r="W269" s="24">
        <f t="shared" ref="W269:AA269" si="1124">IF($L269&lt;=W$8,1,0)</f>
        <v>1</v>
      </c>
      <c r="X269" s="24">
        <f>ROUND(INDEX($C$2:$C$5,MATCH($E269,$B$2:$B$5,0))*$F269/SUMIFS($F:$F,$E:$E,$E269,$B:$B,$B269,W:W,1)*IF(B269=$B$10,0.9,1),0)</f>
        <v>750</v>
      </c>
      <c r="Y269" s="24">
        <f t="shared" si="1124"/>
        <v>1</v>
      </c>
      <c r="Z269" s="24">
        <f>ROUND(INDEX($C$2:$C$5,MATCH($E269,$B$2:$B$5,0))*$G269/SUMIFS($G:$G,$E:$E,$E269,$B:$B,$B269,Y:Y,1)*IF(B269=$B$10,0.9,1),0)</f>
        <v>750</v>
      </c>
      <c r="AA269" s="24">
        <f t="shared" si="1124"/>
        <v>1</v>
      </c>
      <c r="AB269" s="24">
        <f>ROUND(INDEX($C$2:$C$5,MATCH($E269,$B$2:$B$5,0))*$H269/SUMIFS($H:$H,$E:$E,$E269,$B:$B,$B269,AA:AA,1)*IF(B269=$B$10,0.9,1),0)</f>
        <v>750</v>
      </c>
      <c r="AC269" s="24">
        <f t="shared" ref="AC269:AG269" si="1125">IF($L269&lt;=AC$8,1,0)</f>
        <v>1</v>
      </c>
      <c r="AD269" s="24">
        <f>ROUND(INDEX($C$2:$C$5,MATCH($E269,$B$2:$B$5,0))*$F269/SUMIFS($F:$F,$E:$E,$E269,$B:$B,$B269,AC:AC,1)*IF(B269=$B$10,0.9,1),0)</f>
        <v>750</v>
      </c>
      <c r="AE269" s="24">
        <f t="shared" si="1125"/>
        <v>1</v>
      </c>
      <c r="AF269" s="24">
        <f>ROUND(INDEX($C$2:$C$5,MATCH($E269,$B$2:$B$5,0))*$G269/SUMIFS($G:$G,$E:$E,$E269,$B:$B,$B269,AE:AE,1)*IF(B269=$B$10,0.9,1),0)</f>
        <v>750</v>
      </c>
      <c r="AG269" s="24">
        <f t="shared" si="1125"/>
        <v>1</v>
      </c>
      <c r="AH269" s="24">
        <f>ROUND(INDEX($C$2:$C$5,MATCH($E269,$B$2:$B$5,0))*$H269/SUMIFS($H:$H,$E:$E,$E269,$B:$B,$B269,AG:AG,1)*IF(B269=$B$10,0.9,1),0)</f>
        <v>750</v>
      </c>
      <c r="AI269" s="24">
        <f t="shared" ref="AI269:AM269" si="1126">IF($L269&lt;=AI$8,1,0)</f>
        <v>1</v>
      </c>
      <c r="AJ269" s="24">
        <f>ROUND(INDEX($C$2:$C$5,MATCH($E269,$B$2:$B$5,0))*$F269/SUMIFS($F:$F,$E:$E,$E269,$B:$B,$B269,AI:AI,1)*IF(B269=$B$10,0.9,1),0)</f>
        <v>750</v>
      </c>
      <c r="AK269" s="24">
        <f t="shared" si="1126"/>
        <v>1</v>
      </c>
      <c r="AL269" s="24">
        <f>ROUND(INDEX($C$2:$C$5,MATCH($E269,$B$2:$B$5,0))*$G269/SUMIFS($G:$G,$E:$E,$E269,$B:$B,$B269,AK:AK,1)*IF(B269=$B$10,0.9,1),0)</f>
        <v>750</v>
      </c>
      <c r="AM269" s="24">
        <f t="shared" si="1126"/>
        <v>1</v>
      </c>
      <c r="AN269" s="24">
        <f>ROUND(INDEX($C$2:$C$5,MATCH($E269,$B$2:$B$5,0))*$H269/SUMIFS($H:$H,$E:$E,$E269,$B:$B,$B269,AM:AM,1)*IF(B269=$B$10,0.9,1),0)</f>
        <v>750</v>
      </c>
      <c r="AX269" s="4" t="str">
        <f t="shared" si="1101"/>
        <v>1,750</v>
      </c>
      <c r="AY269" s="4" t="str">
        <f t="shared" si="1102"/>
        <v>1,900</v>
      </c>
      <c r="AZ269" s="4" t="str">
        <f t="shared" si="1103"/>
        <v>1,900</v>
      </c>
      <c r="BA269" s="4" t="str">
        <f t="shared" si="1104"/>
        <v>1,900</v>
      </c>
      <c r="BB269" s="4" t="str">
        <f t="shared" si="1105"/>
        <v>1,750</v>
      </c>
      <c r="BC269" s="4" t="str">
        <f t="shared" si="1106"/>
        <v>1,750</v>
      </c>
      <c r="BD269" s="4" t="str">
        <f t="shared" si="1107"/>
        <v>1,750</v>
      </c>
      <c r="BE269" s="4" t="str">
        <f t="shared" si="1108"/>
        <v>1,750</v>
      </c>
      <c r="BF269" s="4" t="str">
        <f t="shared" si="1109"/>
        <v>1,750</v>
      </c>
      <c r="BG269" s="4" t="str">
        <f t="shared" si="1110"/>
        <v>1,750</v>
      </c>
      <c r="BH269" s="4" t="str">
        <f t="shared" si="1111"/>
        <v>1,750</v>
      </c>
      <c r="BI269" s="4" t="str">
        <f t="shared" si="1112"/>
        <v>1,750</v>
      </c>
      <c r="BJ269" s="4" t="str">
        <f t="shared" si="1113"/>
        <v>1,750</v>
      </c>
    </row>
    <row r="270" customHeight="1" spans="1:62">
      <c r="A270" s="62">
        <v>1613</v>
      </c>
      <c r="B270" s="55" t="s">
        <v>120</v>
      </c>
      <c r="C270" s="64"/>
      <c r="D270" s="44" t="s">
        <v>364</v>
      </c>
      <c r="E270" s="66">
        <v>2</v>
      </c>
      <c r="F270" s="35">
        <v>1</v>
      </c>
      <c r="G270" s="35">
        <f t="shared" si="1114"/>
        <v>1</v>
      </c>
      <c r="H270" s="35">
        <v>1</v>
      </c>
      <c r="I270" s="35">
        <v>1</v>
      </c>
      <c r="J270" s="35">
        <v>1</v>
      </c>
      <c r="K270" s="35">
        <v>1</v>
      </c>
      <c r="L270" s="35">
        <v>1</v>
      </c>
      <c r="M270" s="35"/>
      <c r="N270">
        <f>INDEX($C$2:$C$5,MATCH(E270,$B$2:$B$5,0))</f>
        <v>4500</v>
      </c>
      <c r="O270" s="35">
        <v>1</v>
      </c>
      <c r="P270" s="24">
        <f>ROUND(INDEX($C$2:$C$5,MATCH($E270,$B$2:$B$5,0))*$F270/SUMIFS($F:$F,$E:$E,$E270,$B:$B,$B270,O:O,1)*IF(B270=$B$10,0.9,1),0)</f>
        <v>750</v>
      </c>
      <c r="Q270" s="24">
        <f t="shared" ref="Q270:U270" si="1127">IF($L270&lt;=Q$8,1,0)</f>
        <v>1</v>
      </c>
      <c r="R270" s="24">
        <f>ROUND(INDEX($C$2:$C$5,MATCH($E270,$B$2:$B$5,0))*$I270/SUMIFS($I:$I,$E:$E,$E270,$B:$B,$B270,Q:Q,1)*IF(B270=$B$10,0.9,1),0)</f>
        <v>900</v>
      </c>
      <c r="S270" s="24">
        <f t="shared" si="1127"/>
        <v>1</v>
      </c>
      <c r="T270" s="24">
        <f>ROUND(INDEX($C$2:$C$5,MATCH($E270,$B$2:$B$5,0))*$J270/SUMIFS($J:$J,$E:$E,$E270,$B:$B,$B270,S:S,1)*IF(B270=$B$10,0.9,1),0)</f>
        <v>900</v>
      </c>
      <c r="U270" s="24">
        <f t="shared" si="1127"/>
        <v>1</v>
      </c>
      <c r="V270" s="24">
        <f>ROUND(INDEX($C$2:$C$5,MATCH($E270,$B$2:$B$5,0))*$K270/SUMIFS($K:$K,$E:$E,$E270,$B:$B,$B270,U:U,1)*IF(B270=$B$10,0.9,1),0)</f>
        <v>900</v>
      </c>
      <c r="W270" s="24">
        <f t="shared" ref="W270:AA270" si="1128">IF($L270&lt;=W$8,1,0)</f>
        <v>1</v>
      </c>
      <c r="X270" s="24">
        <f>ROUND(INDEX($C$2:$C$5,MATCH($E270,$B$2:$B$5,0))*$F270/SUMIFS($F:$F,$E:$E,$E270,$B:$B,$B270,W:W,1)*IF(B270=$B$10,0.9,1),0)</f>
        <v>750</v>
      </c>
      <c r="Y270" s="24">
        <f t="shared" si="1128"/>
        <v>1</v>
      </c>
      <c r="Z270" s="24">
        <f>ROUND(INDEX($C$2:$C$5,MATCH($E270,$B$2:$B$5,0))*$G270/SUMIFS($G:$G,$E:$E,$E270,$B:$B,$B270,Y:Y,1)*IF(B270=$B$10,0.9,1),0)</f>
        <v>750</v>
      </c>
      <c r="AA270" s="24">
        <f t="shared" si="1128"/>
        <v>1</v>
      </c>
      <c r="AB270" s="24">
        <f>ROUND(INDEX($C$2:$C$5,MATCH($E270,$B$2:$B$5,0))*$H270/SUMIFS($H:$H,$E:$E,$E270,$B:$B,$B270,AA:AA,1)*IF(B270=$B$10,0.9,1),0)</f>
        <v>750</v>
      </c>
      <c r="AC270" s="24">
        <f t="shared" ref="AC270:AG270" si="1129">IF($L270&lt;=AC$8,1,0)</f>
        <v>1</v>
      </c>
      <c r="AD270" s="24">
        <f>ROUND(INDEX($C$2:$C$5,MATCH($E270,$B$2:$B$5,0))*$F270/SUMIFS($F:$F,$E:$E,$E270,$B:$B,$B270,AC:AC,1)*IF(B270=$B$10,0.9,1),0)</f>
        <v>750</v>
      </c>
      <c r="AE270" s="24">
        <f t="shared" si="1129"/>
        <v>1</v>
      </c>
      <c r="AF270" s="24">
        <f>ROUND(INDEX($C$2:$C$5,MATCH($E270,$B$2:$B$5,0))*$G270/SUMIFS($G:$G,$E:$E,$E270,$B:$B,$B270,AE:AE,1)*IF(B270=$B$10,0.9,1),0)</f>
        <v>750</v>
      </c>
      <c r="AG270" s="24">
        <f t="shared" si="1129"/>
        <v>1</v>
      </c>
      <c r="AH270" s="24">
        <f>ROUND(INDEX($C$2:$C$5,MATCH($E270,$B$2:$B$5,0))*$H270/SUMIFS($H:$H,$E:$E,$E270,$B:$B,$B270,AG:AG,1)*IF(B270=$B$10,0.9,1),0)</f>
        <v>750</v>
      </c>
      <c r="AI270" s="24">
        <f t="shared" ref="AI270:AM270" si="1130">IF($L270&lt;=AI$8,1,0)</f>
        <v>1</v>
      </c>
      <c r="AJ270" s="24">
        <f>ROUND(INDEX($C$2:$C$5,MATCH($E270,$B$2:$B$5,0))*$F270/SUMIFS($F:$F,$E:$E,$E270,$B:$B,$B270,AI:AI,1)*IF(B270=$B$10,0.9,1),0)</f>
        <v>750</v>
      </c>
      <c r="AK270" s="24">
        <f t="shared" si="1130"/>
        <v>1</v>
      </c>
      <c r="AL270" s="24">
        <f>ROUND(INDEX($C$2:$C$5,MATCH($E270,$B$2:$B$5,0))*$G270/SUMIFS($G:$G,$E:$E,$E270,$B:$B,$B270,AK:AK,1)*IF(B270=$B$10,0.9,1),0)</f>
        <v>750</v>
      </c>
      <c r="AM270" s="24">
        <f t="shared" si="1130"/>
        <v>1</v>
      </c>
      <c r="AN270" s="24">
        <f>ROUND(INDEX($C$2:$C$5,MATCH($E270,$B$2:$B$5,0))*$H270/SUMIFS($H:$H,$E:$E,$E270,$B:$B,$B270,AM:AM,1)*IF(B270=$B$10,0.9,1),0)</f>
        <v>750</v>
      </c>
      <c r="AX270" s="4" t="str">
        <f t="shared" si="1101"/>
        <v>1,750</v>
      </c>
      <c r="AY270" s="4" t="str">
        <f t="shared" si="1102"/>
        <v>1,900</v>
      </c>
      <c r="AZ270" s="4" t="str">
        <f t="shared" si="1103"/>
        <v>1,900</v>
      </c>
      <c r="BA270" s="4" t="str">
        <f t="shared" si="1104"/>
        <v>1,900</v>
      </c>
      <c r="BB270" s="4" t="str">
        <f t="shared" si="1105"/>
        <v>1,750</v>
      </c>
      <c r="BC270" s="4" t="str">
        <f t="shared" si="1106"/>
        <v>1,750</v>
      </c>
      <c r="BD270" s="4" t="str">
        <f t="shared" si="1107"/>
        <v>1,750</v>
      </c>
      <c r="BE270" s="4" t="str">
        <f t="shared" si="1108"/>
        <v>1,750</v>
      </c>
      <c r="BF270" s="4" t="str">
        <f t="shared" si="1109"/>
        <v>1,750</v>
      </c>
      <c r="BG270" s="4" t="str">
        <f t="shared" si="1110"/>
        <v>1,750</v>
      </c>
      <c r="BH270" s="4" t="str">
        <f t="shared" si="1111"/>
        <v>1,750</v>
      </c>
      <c r="BI270" s="4" t="str">
        <f t="shared" si="1112"/>
        <v>1,750</v>
      </c>
      <c r="BJ270" s="4" t="str">
        <f t="shared" si="1113"/>
        <v>1,750</v>
      </c>
    </row>
    <row r="271" customHeight="1" spans="1:62">
      <c r="A271" s="62">
        <v>1614</v>
      </c>
      <c r="B271" s="55" t="s">
        <v>120</v>
      </c>
      <c r="C271" s="64"/>
      <c r="D271" s="44" t="s">
        <v>365</v>
      </c>
      <c r="E271" s="66">
        <v>2</v>
      </c>
      <c r="F271" s="35">
        <v>1</v>
      </c>
      <c r="G271" s="35">
        <f t="shared" si="1114"/>
        <v>1</v>
      </c>
      <c r="H271" s="35">
        <v>1</v>
      </c>
      <c r="I271" s="35">
        <v>1</v>
      </c>
      <c r="J271" s="35">
        <v>1</v>
      </c>
      <c r="K271" s="35">
        <v>1</v>
      </c>
      <c r="L271" s="35">
        <v>1</v>
      </c>
      <c r="M271" s="35" t="s">
        <v>136</v>
      </c>
      <c r="N271">
        <f>INDEX($C$2:$C$5,MATCH(E271,$B$2:$B$5,0))</f>
        <v>4500</v>
      </c>
      <c r="O271" s="35">
        <v>1</v>
      </c>
      <c r="P271" s="24">
        <f>ROUND(INDEX($C$2:$C$5,MATCH($E271,$B$2:$B$5,0))*$F271/SUMIFS($F:$F,$E:$E,$E271,$B:$B,$B271,O:O,1)*IF(B271=$B$10,0.9,1),0)</f>
        <v>750</v>
      </c>
      <c r="Q271" s="24">
        <f t="shared" ref="Q271:U271" si="1131">IF($L271&lt;=Q$8,1,0)</f>
        <v>1</v>
      </c>
      <c r="R271" s="24">
        <f>ROUND(INDEX($C$2:$C$5,MATCH($E271,$B$2:$B$5,0))*$I271/SUMIFS($I:$I,$E:$E,$E271,$B:$B,$B271,Q:Q,1)*IF(B271=$B$10,0.9,1),0)</f>
        <v>900</v>
      </c>
      <c r="S271" s="24">
        <f t="shared" si="1131"/>
        <v>1</v>
      </c>
      <c r="T271" s="24">
        <f>ROUND(INDEX($C$2:$C$5,MATCH($E271,$B$2:$B$5,0))*$J271/SUMIFS($J:$J,$E:$E,$E271,$B:$B,$B271,S:S,1)*IF(B271=$B$10,0.9,1),0)</f>
        <v>900</v>
      </c>
      <c r="U271" s="24">
        <f t="shared" si="1131"/>
        <v>1</v>
      </c>
      <c r="V271" s="24">
        <f>ROUND(INDEX($C$2:$C$5,MATCH($E271,$B$2:$B$5,0))*$K271/SUMIFS($K:$K,$E:$E,$E271,$B:$B,$B271,U:U,1)*IF(B271=$B$10,0.9,1),0)</f>
        <v>900</v>
      </c>
      <c r="W271" s="24">
        <f t="shared" ref="W271:AA271" si="1132">IF($L271&lt;=W$8,1,0)</f>
        <v>1</v>
      </c>
      <c r="X271" s="24">
        <f>ROUND(INDEX($C$2:$C$5,MATCH($E271,$B$2:$B$5,0))*$F271/SUMIFS($F:$F,$E:$E,$E271,$B:$B,$B271,W:W,1)*IF(B271=$B$10,0.9,1),0)</f>
        <v>750</v>
      </c>
      <c r="Y271" s="24">
        <f t="shared" si="1132"/>
        <v>1</v>
      </c>
      <c r="Z271" s="24">
        <f>ROUND(INDEX($C$2:$C$5,MATCH($E271,$B$2:$B$5,0))*$G271/SUMIFS($G:$G,$E:$E,$E271,$B:$B,$B271,Y:Y,1)*IF(B271=$B$10,0.9,1),0)</f>
        <v>750</v>
      </c>
      <c r="AA271" s="24">
        <f t="shared" si="1132"/>
        <v>1</v>
      </c>
      <c r="AB271" s="24">
        <f>ROUND(INDEX($C$2:$C$5,MATCH($E271,$B$2:$B$5,0))*$H271/SUMIFS($H:$H,$E:$E,$E271,$B:$B,$B271,AA:AA,1)*IF(B271=$B$10,0.9,1),0)</f>
        <v>750</v>
      </c>
      <c r="AC271" s="24">
        <f t="shared" ref="AC271:AG271" si="1133">IF($L271&lt;=AC$8,1,0)</f>
        <v>1</v>
      </c>
      <c r="AD271" s="24">
        <f>ROUND(INDEX($C$2:$C$5,MATCH($E271,$B$2:$B$5,0))*$F271/SUMIFS($F:$F,$E:$E,$E271,$B:$B,$B271,AC:AC,1)*IF(B271=$B$10,0.9,1),0)</f>
        <v>750</v>
      </c>
      <c r="AE271" s="24">
        <f t="shared" si="1133"/>
        <v>1</v>
      </c>
      <c r="AF271" s="24">
        <f>ROUND(INDEX($C$2:$C$5,MATCH($E271,$B$2:$B$5,0))*$G271/SUMIFS($G:$G,$E:$E,$E271,$B:$B,$B271,AE:AE,1)*IF(B271=$B$10,0.9,1),0)</f>
        <v>750</v>
      </c>
      <c r="AG271" s="24">
        <f t="shared" si="1133"/>
        <v>1</v>
      </c>
      <c r="AH271" s="24">
        <f>ROUND(INDEX($C$2:$C$5,MATCH($E271,$B$2:$B$5,0))*$H271/SUMIFS($H:$H,$E:$E,$E271,$B:$B,$B271,AG:AG,1)*IF(B271=$B$10,0.9,1),0)</f>
        <v>750</v>
      </c>
      <c r="AI271" s="24">
        <f t="shared" ref="AI271:AM271" si="1134">IF($L271&lt;=AI$8,1,0)</f>
        <v>1</v>
      </c>
      <c r="AJ271" s="24">
        <f>ROUND(INDEX($C$2:$C$5,MATCH($E271,$B$2:$B$5,0))*$F271/SUMIFS($F:$F,$E:$E,$E271,$B:$B,$B271,AI:AI,1)*IF(B271=$B$10,0.9,1),0)</f>
        <v>750</v>
      </c>
      <c r="AK271" s="24">
        <f t="shared" si="1134"/>
        <v>1</v>
      </c>
      <c r="AL271" s="24">
        <f>ROUND(INDEX($C$2:$C$5,MATCH($E271,$B$2:$B$5,0))*$G271/SUMIFS($G:$G,$E:$E,$E271,$B:$B,$B271,AK:AK,1)*IF(B271=$B$10,0.9,1),0)</f>
        <v>750</v>
      </c>
      <c r="AM271" s="24">
        <f t="shared" si="1134"/>
        <v>1</v>
      </c>
      <c r="AN271" s="24">
        <f>ROUND(INDEX($C$2:$C$5,MATCH($E271,$B$2:$B$5,0))*$H271/SUMIFS($H:$H,$E:$E,$E271,$B:$B,$B271,AM:AM,1)*IF(B271=$B$10,0.9,1),0)</f>
        <v>750</v>
      </c>
      <c r="AX271" s="4" t="str">
        <f t="shared" si="1101"/>
        <v>1,750</v>
      </c>
      <c r="AY271" s="4" t="str">
        <f t="shared" si="1102"/>
        <v>1,900</v>
      </c>
      <c r="AZ271" s="4" t="str">
        <f t="shared" si="1103"/>
        <v>1,900</v>
      </c>
      <c r="BA271" s="4" t="str">
        <f t="shared" si="1104"/>
        <v>1,900</v>
      </c>
      <c r="BB271" s="4" t="str">
        <f t="shared" si="1105"/>
        <v>1,750</v>
      </c>
      <c r="BC271" s="4" t="str">
        <f t="shared" si="1106"/>
        <v>1,750</v>
      </c>
      <c r="BD271" s="4" t="str">
        <f t="shared" si="1107"/>
        <v>1,750</v>
      </c>
      <c r="BE271" s="4" t="str">
        <f t="shared" si="1108"/>
        <v>1,750</v>
      </c>
      <c r="BF271" s="4" t="str">
        <f t="shared" si="1109"/>
        <v>1,750</v>
      </c>
      <c r="BG271" s="4" t="str">
        <f t="shared" si="1110"/>
        <v>1,750</v>
      </c>
      <c r="BH271" s="4" t="str">
        <f t="shared" si="1111"/>
        <v>1,750</v>
      </c>
      <c r="BI271" s="4" t="str">
        <f t="shared" si="1112"/>
        <v>1,750</v>
      </c>
      <c r="BJ271" s="4" t="str">
        <f t="shared" si="1113"/>
        <v>1,750</v>
      </c>
    </row>
    <row r="272" customHeight="1" spans="1:62">
      <c r="A272" s="62">
        <v>1621</v>
      </c>
      <c r="B272" s="55" t="s">
        <v>120</v>
      </c>
      <c r="C272" s="64" t="s">
        <v>218</v>
      </c>
      <c r="D272" s="46" t="s">
        <v>366</v>
      </c>
      <c r="E272" s="66">
        <v>3</v>
      </c>
      <c r="F272" s="35">
        <v>1</v>
      </c>
      <c r="G272" s="35">
        <f t="shared" si="1114"/>
        <v>1</v>
      </c>
      <c r="H272" s="35">
        <v>1</v>
      </c>
      <c r="I272" s="35">
        <v>1</v>
      </c>
      <c r="J272" s="35">
        <v>1</v>
      </c>
      <c r="K272" s="35">
        <v>1</v>
      </c>
      <c r="L272" s="35">
        <v>1</v>
      </c>
      <c r="M272" s="35" t="s">
        <v>136</v>
      </c>
      <c r="N272">
        <f>INDEX($C$2:$C$5,MATCH(E272,$B$2:$B$5,0))</f>
        <v>1500</v>
      </c>
      <c r="O272" s="35">
        <v>1</v>
      </c>
      <c r="P272" s="24">
        <f>ROUND(INDEX($C$2:$C$5,MATCH($E272,$B$2:$B$5,0))*$F272/SUMIFS($F:$F,$E:$E,$E272,$B:$B,$B272,O:O,1)*IF(B272=$B$10,0.9,1),0)</f>
        <v>250</v>
      </c>
      <c r="Q272" s="24">
        <f t="shared" ref="Q272:U272" si="1135">IF($L272&lt;=Q$8,1,0)</f>
        <v>1</v>
      </c>
      <c r="R272" s="24">
        <f>ROUND(INDEX($C$2:$C$5,MATCH($E272,$B$2:$B$5,0))*$I272/SUMIFS($I:$I,$E:$E,$E272,$B:$B,$B272,Q:Q,1)*IF(B272=$B$10,0.9,1),0)</f>
        <v>300</v>
      </c>
      <c r="S272" s="24">
        <f t="shared" si="1135"/>
        <v>1</v>
      </c>
      <c r="T272" s="24">
        <f>ROUND(INDEX($C$2:$C$5,MATCH($E272,$B$2:$B$5,0))*$J272/SUMIFS($J:$J,$E:$E,$E272,$B:$B,$B272,S:S,1)*IF(B272=$B$10,0.9,1),0)</f>
        <v>300</v>
      </c>
      <c r="U272" s="24">
        <f t="shared" si="1135"/>
        <v>1</v>
      </c>
      <c r="V272" s="24">
        <f>ROUND(INDEX($C$2:$C$5,MATCH($E272,$B$2:$B$5,0))*$K272/SUMIFS($K:$K,$E:$E,$E272,$B:$B,$B272,U:U,1)*IF(B272=$B$10,0.9,1),0)</f>
        <v>300</v>
      </c>
      <c r="W272" s="24">
        <f t="shared" ref="W272:AA272" si="1136">IF($L272&lt;=W$8,1,0)</f>
        <v>1</v>
      </c>
      <c r="X272" s="24">
        <f>ROUND(INDEX($C$2:$C$5,MATCH($E272,$B$2:$B$5,0))*$F272/SUMIFS($F:$F,$E:$E,$E272,$B:$B,$B272,W:W,1)*IF(B272=$B$10,0.9,1),0)</f>
        <v>250</v>
      </c>
      <c r="Y272" s="24">
        <f t="shared" si="1136"/>
        <v>1</v>
      </c>
      <c r="Z272" s="24">
        <f>ROUND(INDEX($C$2:$C$5,MATCH($E272,$B$2:$B$5,0))*$G272/SUMIFS($G:$G,$E:$E,$E272,$B:$B,$B272,Y:Y,1)*IF(B272=$B$10,0.9,1),0)</f>
        <v>250</v>
      </c>
      <c r="AA272" s="24">
        <f t="shared" si="1136"/>
        <v>1</v>
      </c>
      <c r="AB272" s="24">
        <f>ROUND(INDEX($C$2:$C$5,MATCH($E272,$B$2:$B$5,0))*$H272/SUMIFS($H:$H,$E:$E,$E272,$B:$B,$B272,AA:AA,1)*IF(B272=$B$10,0.9,1),0)</f>
        <v>250</v>
      </c>
      <c r="AC272" s="24">
        <f t="shared" ref="AC272:AG272" si="1137">IF($L272&lt;=AC$8,1,0)</f>
        <v>1</v>
      </c>
      <c r="AD272" s="24">
        <f>ROUND(INDEX($C$2:$C$5,MATCH($E272,$B$2:$B$5,0))*$F272/SUMIFS($F:$F,$E:$E,$E272,$B:$B,$B272,AC:AC,1)*IF(B272=$B$10,0.9,1),0)</f>
        <v>250</v>
      </c>
      <c r="AE272" s="24">
        <f t="shared" si="1137"/>
        <v>1</v>
      </c>
      <c r="AF272" s="24">
        <f>ROUND(INDEX($C$2:$C$5,MATCH($E272,$B$2:$B$5,0))*$G272/SUMIFS($G:$G,$E:$E,$E272,$B:$B,$B272,AE:AE,1)*IF(B272=$B$10,0.9,1),0)</f>
        <v>250</v>
      </c>
      <c r="AG272" s="24">
        <f t="shared" si="1137"/>
        <v>1</v>
      </c>
      <c r="AH272" s="24">
        <f>ROUND(INDEX($C$2:$C$5,MATCH($E272,$B$2:$B$5,0))*$H272/SUMIFS($H:$H,$E:$E,$E272,$B:$B,$B272,AG:AG,1)*IF(B272=$B$10,0.9,1),0)</f>
        <v>250</v>
      </c>
      <c r="AI272" s="24">
        <f t="shared" ref="AI272:AM272" si="1138">IF($L272&lt;=AI$8,1,0)</f>
        <v>1</v>
      </c>
      <c r="AJ272" s="24">
        <f>ROUND(INDEX($C$2:$C$5,MATCH($E272,$B$2:$B$5,0))*$F272/SUMIFS($F:$F,$E:$E,$E272,$B:$B,$B272,AI:AI,1)*IF(B272=$B$10,0.9,1),0)</f>
        <v>250</v>
      </c>
      <c r="AK272" s="24">
        <f t="shared" si="1138"/>
        <v>1</v>
      </c>
      <c r="AL272" s="24">
        <f>ROUND(INDEX($C$2:$C$5,MATCH($E272,$B$2:$B$5,0))*$G272/SUMIFS($G:$G,$E:$E,$E272,$B:$B,$B272,AK:AK,1)*IF(B272=$B$10,0.9,1),0)</f>
        <v>250</v>
      </c>
      <c r="AM272" s="24">
        <f t="shared" si="1138"/>
        <v>1</v>
      </c>
      <c r="AN272" s="24">
        <f>ROUND(INDEX($C$2:$C$5,MATCH($E272,$B$2:$B$5,0))*$H272/SUMIFS($H:$H,$E:$E,$E272,$B:$B,$B272,AM:AM,1)*IF(B272=$B$10,0.9,1),0)</f>
        <v>250</v>
      </c>
      <c r="AX272" s="4" t="str">
        <f t="shared" si="1101"/>
        <v>1,250</v>
      </c>
      <c r="AY272" s="4" t="str">
        <f t="shared" si="1102"/>
        <v>1,300</v>
      </c>
      <c r="AZ272" s="4" t="str">
        <f t="shared" si="1103"/>
        <v>1,300</v>
      </c>
      <c r="BA272" s="4" t="str">
        <f t="shared" si="1104"/>
        <v>1,300</v>
      </c>
      <c r="BB272" s="4" t="str">
        <f t="shared" si="1105"/>
        <v>1,250</v>
      </c>
      <c r="BC272" s="4" t="str">
        <f t="shared" si="1106"/>
        <v>1,250</v>
      </c>
      <c r="BD272" s="4" t="str">
        <f t="shared" si="1107"/>
        <v>1,250</v>
      </c>
      <c r="BE272" s="4" t="str">
        <f t="shared" si="1108"/>
        <v>1,250</v>
      </c>
      <c r="BF272" s="4" t="str">
        <f t="shared" si="1109"/>
        <v>1,250</v>
      </c>
      <c r="BG272" s="4" t="str">
        <f t="shared" si="1110"/>
        <v>1,250</v>
      </c>
      <c r="BH272" s="4" t="str">
        <f t="shared" si="1111"/>
        <v>1,250</v>
      </c>
      <c r="BI272" s="4" t="str">
        <f t="shared" si="1112"/>
        <v>1,250</v>
      </c>
      <c r="BJ272" s="4" t="str">
        <f t="shared" si="1113"/>
        <v>1,250</v>
      </c>
    </row>
    <row r="273" customHeight="1" spans="1:62">
      <c r="A273" s="62">
        <v>1622</v>
      </c>
      <c r="B273" s="55" t="s">
        <v>120</v>
      </c>
      <c r="C273" s="64" t="s">
        <v>218</v>
      </c>
      <c r="D273" s="46" t="s">
        <v>367</v>
      </c>
      <c r="E273" s="66">
        <v>3</v>
      </c>
      <c r="F273" s="35">
        <v>1</v>
      </c>
      <c r="G273" s="35">
        <f t="shared" si="1114"/>
        <v>1</v>
      </c>
      <c r="H273" s="35">
        <v>1</v>
      </c>
      <c r="I273" s="35">
        <v>1</v>
      </c>
      <c r="J273" s="35">
        <v>1</v>
      </c>
      <c r="K273" s="35">
        <v>1</v>
      </c>
      <c r="L273" s="35">
        <v>1</v>
      </c>
      <c r="M273" s="35"/>
      <c r="N273">
        <f>INDEX($C$2:$C$5,MATCH(E273,$B$2:$B$5,0))</f>
        <v>1500</v>
      </c>
      <c r="O273" s="35">
        <v>1</v>
      </c>
      <c r="P273" s="24">
        <f>ROUND(INDEX($C$2:$C$5,MATCH($E273,$B$2:$B$5,0))*$F273/SUMIFS($F:$F,$E:$E,$E273,$B:$B,$B273,O:O,1)*IF(B273=$B$10,0.9,1),0)</f>
        <v>250</v>
      </c>
      <c r="Q273" s="24">
        <f t="shared" ref="Q273:U273" si="1139">IF($L273&lt;=Q$8,1,0)</f>
        <v>1</v>
      </c>
      <c r="R273" s="24">
        <f>ROUND(INDEX($C$2:$C$5,MATCH($E273,$B$2:$B$5,0))*$I273/SUMIFS($I:$I,$E:$E,$E273,$B:$B,$B273,Q:Q,1)*IF(B273=$B$10,0.9,1),0)</f>
        <v>300</v>
      </c>
      <c r="S273" s="24">
        <f t="shared" si="1139"/>
        <v>1</v>
      </c>
      <c r="T273" s="24">
        <f>ROUND(INDEX($C$2:$C$5,MATCH($E273,$B$2:$B$5,0))*$J273/SUMIFS($J:$J,$E:$E,$E273,$B:$B,$B273,S:S,1)*IF(B273=$B$10,0.9,1),0)</f>
        <v>300</v>
      </c>
      <c r="U273" s="24">
        <f t="shared" si="1139"/>
        <v>1</v>
      </c>
      <c r="V273" s="24">
        <f>ROUND(INDEX($C$2:$C$5,MATCH($E273,$B$2:$B$5,0))*$K273/SUMIFS($K:$K,$E:$E,$E273,$B:$B,$B273,U:U,1)*IF(B273=$B$10,0.9,1),0)</f>
        <v>300</v>
      </c>
      <c r="W273" s="24">
        <f t="shared" ref="W273:AA273" si="1140">IF($L273&lt;=W$8,1,0)</f>
        <v>1</v>
      </c>
      <c r="X273" s="24">
        <f>ROUND(INDEX($C$2:$C$5,MATCH($E273,$B$2:$B$5,0))*$F273/SUMIFS($F:$F,$E:$E,$E273,$B:$B,$B273,W:W,1)*IF(B273=$B$10,0.9,1),0)</f>
        <v>250</v>
      </c>
      <c r="Y273" s="24">
        <f t="shared" si="1140"/>
        <v>1</v>
      </c>
      <c r="Z273" s="24">
        <f>ROUND(INDEX($C$2:$C$5,MATCH($E273,$B$2:$B$5,0))*$G273/SUMIFS($G:$G,$E:$E,$E273,$B:$B,$B273,Y:Y,1)*IF(B273=$B$10,0.9,1),0)</f>
        <v>250</v>
      </c>
      <c r="AA273" s="24">
        <f t="shared" si="1140"/>
        <v>1</v>
      </c>
      <c r="AB273" s="24">
        <f>ROUND(INDEX($C$2:$C$5,MATCH($E273,$B$2:$B$5,0))*$H273/SUMIFS($H:$H,$E:$E,$E273,$B:$B,$B273,AA:AA,1)*IF(B273=$B$10,0.9,1),0)</f>
        <v>250</v>
      </c>
      <c r="AC273" s="24">
        <f t="shared" ref="AC273:AG273" si="1141">IF($L273&lt;=AC$8,1,0)</f>
        <v>1</v>
      </c>
      <c r="AD273" s="24">
        <f>ROUND(INDEX($C$2:$C$5,MATCH($E273,$B$2:$B$5,0))*$F273/SUMIFS($F:$F,$E:$E,$E273,$B:$B,$B273,AC:AC,1)*IF(B273=$B$10,0.9,1),0)</f>
        <v>250</v>
      </c>
      <c r="AE273" s="24">
        <f t="shared" si="1141"/>
        <v>1</v>
      </c>
      <c r="AF273" s="24">
        <f>ROUND(INDEX($C$2:$C$5,MATCH($E273,$B$2:$B$5,0))*$G273/SUMIFS($G:$G,$E:$E,$E273,$B:$B,$B273,AE:AE,1)*IF(B273=$B$10,0.9,1),0)</f>
        <v>250</v>
      </c>
      <c r="AG273" s="24">
        <f t="shared" si="1141"/>
        <v>1</v>
      </c>
      <c r="AH273" s="24">
        <f>ROUND(INDEX($C$2:$C$5,MATCH($E273,$B$2:$B$5,0))*$H273/SUMIFS($H:$H,$E:$E,$E273,$B:$B,$B273,AG:AG,1)*IF(B273=$B$10,0.9,1),0)</f>
        <v>250</v>
      </c>
      <c r="AI273" s="24">
        <f t="shared" ref="AI273:AM273" si="1142">IF($L273&lt;=AI$8,1,0)</f>
        <v>1</v>
      </c>
      <c r="AJ273" s="24">
        <f>ROUND(INDEX($C$2:$C$5,MATCH($E273,$B$2:$B$5,0))*$F273/SUMIFS($F:$F,$E:$E,$E273,$B:$B,$B273,AI:AI,1)*IF(B273=$B$10,0.9,1),0)</f>
        <v>250</v>
      </c>
      <c r="AK273" s="24">
        <f t="shared" si="1142"/>
        <v>1</v>
      </c>
      <c r="AL273" s="24">
        <f>ROUND(INDEX($C$2:$C$5,MATCH($E273,$B$2:$B$5,0))*$G273/SUMIFS($G:$G,$E:$E,$E273,$B:$B,$B273,AK:AK,1)*IF(B273=$B$10,0.9,1),0)</f>
        <v>250</v>
      </c>
      <c r="AM273" s="24">
        <f t="shared" si="1142"/>
        <v>1</v>
      </c>
      <c r="AN273" s="24">
        <f>ROUND(INDEX($C$2:$C$5,MATCH($E273,$B$2:$B$5,0))*$H273/SUMIFS($H:$H,$E:$E,$E273,$B:$B,$B273,AM:AM,1)*IF(B273=$B$10,0.9,1),0)</f>
        <v>250</v>
      </c>
      <c r="AX273" s="4" t="str">
        <f t="shared" si="1101"/>
        <v>1,250</v>
      </c>
      <c r="AY273" s="4" t="str">
        <f t="shared" si="1102"/>
        <v>1,300</v>
      </c>
      <c r="AZ273" s="4" t="str">
        <f t="shared" si="1103"/>
        <v>1,300</v>
      </c>
      <c r="BA273" s="4" t="str">
        <f t="shared" si="1104"/>
        <v>1,300</v>
      </c>
      <c r="BB273" s="4" t="str">
        <f t="shared" si="1105"/>
        <v>1,250</v>
      </c>
      <c r="BC273" s="4" t="str">
        <f t="shared" si="1106"/>
        <v>1,250</v>
      </c>
      <c r="BD273" s="4" t="str">
        <f t="shared" si="1107"/>
        <v>1,250</v>
      </c>
      <c r="BE273" s="4" t="str">
        <f t="shared" si="1108"/>
        <v>1,250</v>
      </c>
      <c r="BF273" s="4" t="str">
        <f t="shared" si="1109"/>
        <v>1,250</v>
      </c>
      <c r="BG273" s="4" t="str">
        <f t="shared" si="1110"/>
        <v>1,250</v>
      </c>
      <c r="BH273" s="4" t="str">
        <f t="shared" si="1111"/>
        <v>1,250</v>
      </c>
      <c r="BI273" s="4" t="str">
        <f t="shared" si="1112"/>
        <v>1,250</v>
      </c>
      <c r="BJ273" s="4" t="str">
        <f t="shared" si="1113"/>
        <v>1,250</v>
      </c>
    </row>
    <row r="274" customHeight="1" spans="1:62">
      <c r="A274" s="62">
        <v>1623</v>
      </c>
      <c r="B274" s="55" t="s">
        <v>120</v>
      </c>
      <c r="C274" s="64" t="s">
        <v>218</v>
      </c>
      <c r="D274" s="46" t="s">
        <v>368</v>
      </c>
      <c r="E274" s="66">
        <v>3</v>
      </c>
      <c r="F274" s="35">
        <v>1</v>
      </c>
      <c r="G274" s="35">
        <f t="shared" si="1114"/>
        <v>1</v>
      </c>
      <c r="H274" s="35">
        <v>1</v>
      </c>
      <c r="I274" s="35">
        <v>1</v>
      </c>
      <c r="J274" s="35">
        <v>1</v>
      </c>
      <c r="K274" s="35">
        <v>1</v>
      </c>
      <c r="L274" s="35">
        <v>1</v>
      </c>
      <c r="M274" s="35"/>
      <c r="N274">
        <f>INDEX($C$2:$C$5,MATCH(E274,$B$2:$B$5,0))</f>
        <v>1500</v>
      </c>
      <c r="O274" s="35">
        <v>1</v>
      </c>
      <c r="P274" s="24">
        <f>ROUND(INDEX($C$2:$C$5,MATCH($E274,$B$2:$B$5,0))*$F274/SUMIFS($F:$F,$E:$E,$E274,$B:$B,$B274,O:O,1)*IF(B274=$B$10,0.9,1),0)</f>
        <v>250</v>
      </c>
      <c r="Q274" s="24">
        <f t="shared" ref="Q274:U274" si="1143">IF($L274&lt;=Q$8,1,0)</f>
        <v>1</v>
      </c>
      <c r="R274" s="24">
        <f>ROUND(INDEX($C$2:$C$5,MATCH($E274,$B$2:$B$5,0))*$I274/SUMIFS($I:$I,$E:$E,$E274,$B:$B,$B274,Q:Q,1)*IF(B274=$B$10,0.9,1),0)</f>
        <v>300</v>
      </c>
      <c r="S274" s="24">
        <f t="shared" si="1143"/>
        <v>1</v>
      </c>
      <c r="T274" s="24">
        <f>ROUND(INDEX($C$2:$C$5,MATCH($E274,$B$2:$B$5,0))*$J274/SUMIFS($J:$J,$E:$E,$E274,$B:$B,$B274,S:S,1)*IF(B274=$B$10,0.9,1),0)</f>
        <v>300</v>
      </c>
      <c r="U274" s="24">
        <f t="shared" si="1143"/>
        <v>1</v>
      </c>
      <c r="V274" s="24">
        <f>ROUND(INDEX($C$2:$C$5,MATCH($E274,$B$2:$B$5,0))*$K274/SUMIFS($K:$K,$E:$E,$E274,$B:$B,$B274,U:U,1)*IF(B274=$B$10,0.9,1),0)</f>
        <v>300</v>
      </c>
      <c r="W274" s="24">
        <f t="shared" ref="W274:AA274" si="1144">IF($L274&lt;=W$8,1,0)</f>
        <v>1</v>
      </c>
      <c r="X274" s="24">
        <f>ROUND(INDEX($C$2:$C$5,MATCH($E274,$B$2:$B$5,0))*$F274/SUMIFS($F:$F,$E:$E,$E274,$B:$B,$B274,W:W,1)*IF(B274=$B$10,0.9,1),0)</f>
        <v>250</v>
      </c>
      <c r="Y274" s="24">
        <f t="shared" si="1144"/>
        <v>1</v>
      </c>
      <c r="Z274" s="24">
        <f>ROUND(INDEX($C$2:$C$5,MATCH($E274,$B$2:$B$5,0))*$G274/SUMIFS($G:$G,$E:$E,$E274,$B:$B,$B274,Y:Y,1)*IF(B274=$B$10,0.9,1),0)</f>
        <v>250</v>
      </c>
      <c r="AA274" s="24">
        <f t="shared" si="1144"/>
        <v>1</v>
      </c>
      <c r="AB274" s="24">
        <f>ROUND(INDEX($C$2:$C$5,MATCH($E274,$B$2:$B$5,0))*$H274/SUMIFS($H:$H,$E:$E,$E274,$B:$B,$B274,AA:AA,1)*IF(B274=$B$10,0.9,1),0)</f>
        <v>250</v>
      </c>
      <c r="AC274" s="24">
        <f t="shared" ref="AC274:AG274" si="1145">IF($L274&lt;=AC$8,1,0)</f>
        <v>1</v>
      </c>
      <c r="AD274" s="24">
        <f>ROUND(INDEX($C$2:$C$5,MATCH($E274,$B$2:$B$5,0))*$F274/SUMIFS($F:$F,$E:$E,$E274,$B:$B,$B274,AC:AC,1)*IF(B274=$B$10,0.9,1),0)</f>
        <v>250</v>
      </c>
      <c r="AE274" s="24">
        <f t="shared" si="1145"/>
        <v>1</v>
      </c>
      <c r="AF274" s="24">
        <f>ROUND(INDEX($C$2:$C$5,MATCH($E274,$B$2:$B$5,0))*$G274/SUMIFS($G:$G,$E:$E,$E274,$B:$B,$B274,AE:AE,1)*IF(B274=$B$10,0.9,1),0)</f>
        <v>250</v>
      </c>
      <c r="AG274" s="24">
        <f t="shared" si="1145"/>
        <v>1</v>
      </c>
      <c r="AH274" s="24">
        <f>ROUND(INDEX($C$2:$C$5,MATCH($E274,$B$2:$B$5,0))*$H274/SUMIFS($H:$H,$E:$E,$E274,$B:$B,$B274,AG:AG,1)*IF(B274=$B$10,0.9,1),0)</f>
        <v>250</v>
      </c>
      <c r="AI274" s="24">
        <f t="shared" ref="AI274:AM274" si="1146">IF($L274&lt;=AI$8,1,0)</f>
        <v>1</v>
      </c>
      <c r="AJ274" s="24">
        <f>ROUND(INDEX($C$2:$C$5,MATCH($E274,$B$2:$B$5,0))*$F274/SUMIFS($F:$F,$E:$E,$E274,$B:$B,$B274,AI:AI,1)*IF(B274=$B$10,0.9,1),0)</f>
        <v>250</v>
      </c>
      <c r="AK274" s="24">
        <f t="shared" si="1146"/>
        <v>1</v>
      </c>
      <c r="AL274" s="24">
        <f>ROUND(INDEX($C$2:$C$5,MATCH($E274,$B$2:$B$5,0))*$G274/SUMIFS($G:$G,$E:$E,$E274,$B:$B,$B274,AK:AK,1)*IF(B274=$B$10,0.9,1),0)</f>
        <v>250</v>
      </c>
      <c r="AM274" s="24">
        <f t="shared" si="1146"/>
        <v>1</v>
      </c>
      <c r="AN274" s="24">
        <f>ROUND(INDEX($C$2:$C$5,MATCH($E274,$B$2:$B$5,0))*$H274/SUMIFS($H:$H,$E:$E,$E274,$B:$B,$B274,AM:AM,1)*IF(B274=$B$10,0.9,1),0)</f>
        <v>250</v>
      </c>
      <c r="AX274" s="4" t="str">
        <f t="shared" si="1101"/>
        <v>1,250</v>
      </c>
      <c r="AY274" s="4" t="str">
        <f t="shared" si="1102"/>
        <v>1,300</v>
      </c>
      <c r="AZ274" s="4" t="str">
        <f t="shared" si="1103"/>
        <v>1,300</v>
      </c>
      <c r="BA274" s="4" t="str">
        <f t="shared" si="1104"/>
        <v>1,300</v>
      </c>
      <c r="BB274" s="4" t="str">
        <f t="shared" si="1105"/>
        <v>1,250</v>
      </c>
      <c r="BC274" s="4" t="str">
        <f t="shared" si="1106"/>
        <v>1,250</v>
      </c>
      <c r="BD274" s="4" t="str">
        <f t="shared" si="1107"/>
        <v>1,250</v>
      </c>
      <c r="BE274" s="4" t="str">
        <f t="shared" si="1108"/>
        <v>1,250</v>
      </c>
      <c r="BF274" s="4" t="str">
        <f t="shared" si="1109"/>
        <v>1,250</v>
      </c>
      <c r="BG274" s="4" t="str">
        <f t="shared" si="1110"/>
        <v>1,250</v>
      </c>
      <c r="BH274" s="4" t="str">
        <f t="shared" si="1111"/>
        <v>1,250</v>
      </c>
      <c r="BI274" s="4" t="str">
        <f t="shared" si="1112"/>
        <v>1,250</v>
      </c>
      <c r="BJ274" s="4" t="str">
        <f t="shared" si="1113"/>
        <v>1,250</v>
      </c>
    </row>
    <row r="275" customHeight="1" spans="1:62">
      <c r="A275" s="62">
        <v>1624</v>
      </c>
      <c r="B275" s="55" t="s">
        <v>120</v>
      </c>
      <c r="C275" s="64" t="s">
        <v>218</v>
      </c>
      <c r="D275" s="46" t="s">
        <v>369</v>
      </c>
      <c r="E275" s="66">
        <v>3</v>
      </c>
      <c r="F275" s="35">
        <v>1</v>
      </c>
      <c r="G275" s="35">
        <f t="shared" si="1114"/>
        <v>1</v>
      </c>
      <c r="H275" s="35">
        <v>1</v>
      </c>
      <c r="I275" s="35">
        <v>1</v>
      </c>
      <c r="J275" s="35">
        <v>1</v>
      </c>
      <c r="K275" s="35">
        <v>1</v>
      </c>
      <c r="L275" s="35">
        <v>1</v>
      </c>
      <c r="M275" s="35"/>
      <c r="N275">
        <f>INDEX($C$2:$C$5,MATCH(E275,$B$2:$B$5,0))</f>
        <v>1500</v>
      </c>
      <c r="O275" s="35">
        <v>1</v>
      </c>
      <c r="P275" s="24">
        <f>ROUND(INDEX($C$2:$C$5,MATCH($E275,$B$2:$B$5,0))*$F275/SUMIFS($F:$F,$E:$E,$E275,$B:$B,$B275,O:O,1)*IF(B275=$B$10,0.9,1),0)</f>
        <v>250</v>
      </c>
      <c r="Q275" s="24">
        <f t="shared" ref="Q275:U275" si="1147">IF($L275&lt;=Q$8,1,0)</f>
        <v>1</v>
      </c>
      <c r="R275" s="24">
        <f>ROUND(INDEX($C$2:$C$5,MATCH($E275,$B$2:$B$5,0))*$I275/SUMIFS($I:$I,$E:$E,$E275,$B:$B,$B275,Q:Q,1)*IF(B275=$B$10,0.9,1),0)</f>
        <v>300</v>
      </c>
      <c r="S275" s="24">
        <f t="shared" si="1147"/>
        <v>1</v>
      </c>
      <c r="T275" s="24">
        <f>ROUND(INDEX($C$2:$C$5,MATCH($E275,$B$2:$B$5,0))*$J275/SUMIFS($J:$J,$E:$E,$E275,$B:$B,$B275,S:S,1)*IF(B275=$B$10,0.9,1),0)</f>
        <v>300</v>
      </c>
      <c r="U275" s="24">
        <f t="shared" si="1147"/>
        <v>1</v>
      </c>
      <c r="V275" s="24">
        <f>ROUND(INDEX($C$2:$C$5,MATCH($E275,$B$2:$B$5,0))*$K275/SUMIFS($K:$K,$E:$E,$E275,$B:$B,$B275,U:U,1)*IF(B275=$B$10,0.9,1),0)</f>
        <v>300</v>
      </c>
      <c r="W275" s="24">
        <f t="shared" ref="W275:AA275" si="1148">IF($L275&lt;=W$8,1,0)</f>
        <v>1</v>
      </c>
      <c r="X275" s="24">
        <f>ROUND(INDEX($C$2:$C$5,MATCH($E275,$B$2:$B$5,0))*$F275/SUMIFS($F:$F,$E:$E,$E275,$B:$B,$B275,W:W,1)*IF(B275=$B$10,0.9,1),0)</f>
        <v>250</v>
      </c>
      <c r="Y275" s="24">
        <f t="shared" si="1148"/>
        <v>1</v>
      </c>
      <c r="Z275" s="24">
        <f>ROUND(INDEX($C$2:$C$5,MATCH($E275,$B$2:$B$5,0))*$G275/SUMIFS($G:$G,$E:$E,$E275,$B:$B,$B275,Y:Y,1)*IF(B275=$B$10,0.9,1),0)</f>
        <v>250</v>
      </c>
      <c r="AA275" s="24">
        <f t="shared" si="1148"/>
        <v>1</v>
      </c>
      <c r="AB275" s="24">
        <f>ROUND(INDEX($C$2:$C$5,MATCH($E275,$B$2:$B$5,0))*$H275/SUMIFS($H:$H,$E:$E,$E275,$B:$B,$B275,AA:AA,1)*IF(B275=$B$10,0.9,1),0)</f>
        <v>250</v>
      </c>
      <c r="AC275" s="24">
        <f t="shared" ref="AC275:AG275" si="1149">IF($L275&lt;=AC$8,1,0)</f>
        <v>1</v>
      </c>
      <c r="AD275" s="24">
        <f>ROUND(INDEX($C$2:$C$5,MATCH($E275,$B$2:$B$5,0))*$F275/SUMIFS($F:$F,$E:$E,$E275,$B:$B,$B275,AC:AC,1)*IF(B275=$B$10,0.9,1),0)</f>
        <v>250</v>
      </c>
      <c r="AE275" s="24">
        <f t="shared" si="1149"/>
        <v>1</v>
      </c>
      <c r="AF275" s="24">
        <f>ROUND(INDEX($C$2:$C$5,MATCH($E275,$B$2:$B$5,0))*$G275/SUMIFS($G:$G,$E:$E,$E275,$B:$B,$B275,AE:AE,1)*IF(B275=$B$10,0.9,1),0)</f>
        <v>250</v>
      </c>
      <c r="AG275" s="24">
        <f t="shared" si="1149"/>
        <v>1</v>
      </c>
      <c r="AH275" s="24">
        <f>ROUND(INDEX($C$2:$C$5,MATCH($E275,$B$2:$B$5,0))*$H275/SUMIFS($H:$H,$E:$E,$E275,$B:$B,$B275,AG:AG,1)*IF(B275=$B$10,0.9,1),0)</f>
        <v>250</v>
      </c>
      <c r="AI275" s="24">
        <f t="shared" ref="AI275:AM275" si="1150">IF($L275&lt;=AI$8,1,0)</f>
        <v>1</v>
      </c>
      <c r="AJ275" s="24">
        <f>ROUND(INDEX($C$2:$C$5,MATCH($E275,$B$2:$B$5,0))*$F275/SUMIFS($F:$F,$E:$E,$E275,$B:$B,$B275,AI:AI,1)*IF(B275=$B$10,0.9,1),0)</f>
        <v>250</v>
      </c>
      <c r="AK275" s="24">
        <f t="shared" si="1150"/>
        <v>1</v>
      </c>
      <c r="AL275" s="24">
        <f>ROUND(INDEX($C$2:$C$5,MATCH($E275,$B$2:$B$5,0))*$G275/SUMIFS($G:$G,$E:$E,$E275,$B:$B,$B275,AK:AK,1)*IF(B275=$B$10,0.9,1),0)</f>
        <v>250</v>
      </c>
      <c r="AM275" s="24">
        <f t="shared" si="1150"/>
        <v>1</v>
      </c>
      <c r="AN275" s="24">
        <f>ROUND(INDEX($C$2:$C$5,MATCH($E275,$B$2:$B$5,0))*$H275/SUMIFS($H:$H,$E:$E,$E275,$B:$B,$B275,AM:AM,1)*IF(B275=$B$10,0.9,1),0)</f>
        <v>250</v>
      </c>
      <c r="AX275" s="4" t="str">
        <f t="shared" si="1101"/>
        <v>1,250</v>
      </c>
      <c r="AY275" s="4" t="str">
        <f t="shared" si="1102"/>
        <v>1,300</v>
      </c>
      <c r="AZ275" s="4" t="str">
        <f t="shared" si="1103"/>
        <v>1,300</v>
      </c>
      <c r="BA275" s="4" t="str">
        <f t="shared" si="1104"/>
        <v>1,300</v>
      </c>
      <c r="BB275" s="4" t="str">
        <f t="shared" si="1105"/>
        <v>1,250</v>
      </c>
      <c r="BC275" s="4" t="str">
        <f t="shared" si="1106"/>
        <v>1,250</v>
      </c>
      <c r="BD275" s="4" t="str">
        <f t="shared" si="1107"/>
        <v>1,250</v>
      </c>
      <c r="BE275" s="4" t="str">
        <f t="shared" si="1108"/>
        <v>1,250</v>
      </c>
      <c r="BF275" s="4" t="str">
        <f t="shared" si="1109"/>
        <v>1,250</v>
      </c>
      <c r="BG275" s="4" t="str">
        <f t="shared" si="1110"/>
        <v>1,250</v>
      </c>
      <c r="BH275" s="4" t="str">
        <f t="shared" si="1111"/>
        <v>1,250</v>
      </c>
      <c r="BI275" s="4" t="str">
        <f t="shared" si="1112"/>
        <v>1,250</v>
      </c>
      <c r="BJ275" s="4" t="str">
        <f t="shared" si="1113"/>
        <v>1,250</v>
      </c>
    </row>
    <row r="276" customHeight="1" spans="1:62">
      <c r="A276" s="62">
        <v>1631</v>
      </c>
      <c r="B276" s="55" t="s">
        <v>120</v>
      </c>
      <c r="C276" s="64" t="s">
        <v>218</v>
      </c>
      <c r="D276" s="44" t="s">
        <v>57</v>
      </c>
      <c r="E276" s="67">
        <v>2</v>
      </c>
      <c r="F276" s="35">
        <v>1</v>
      </c>
      <c r="G276" s="35">
        <f t="shared" si="1114"/>
        <v>1</v>
      </c>
      <c r="H276" s="35">
        <v>1</v>
      </c>
      <c r="I276" s="35">
        <v>1</v>
      </c>
      <c r="J276" s="35">
        <v>1</v>
      </c>
      <c r="K276" s="35">
        <v>1</v>
      </c>
      <c r="L276" s="35">
        <v>2</v>
      </c>
      <c r="M276" s="35"/>
      <c r="N276">
        <f>INDEX($C$2:$C$5,MATCH(E276,$B$2:$B$5,0))</f>
        <v>4500</v>
      </c>
      <c r="O276" s="35">
        <v>1</v>
      </c>
      <c r="P276" s="24">
        <f>ROUND(INDEX($C$2:$C$5,MATCH($E276,$B$2:$B$5,0))*$F276/SUMIFS($F:$F,$E:$E,$E276,$B:$B,$B276,O:O,1)*IF(B276=$B$10,0.9,1),0)</f>
        <v>750</v>
      </c>
      <c r="Q276" s="24">
        <f t="shared" ref="Q276:U276" si="1151">IF($L276&lt;=Q$8,1,0)</f>
        <v>0</v>
      </c>
      <c r="R276" s="24">
        <f>ROUND(INDEX($C$2:$C$5,MATCH($E276,$B$2:$B$5,0))*$I276/SUMIFS($I:$I,$E:$E,$E276,$B:$B,$B276,Q:Q,1)*IF(B276=$B$10,0.9,1),0)</f>
        <v>900</v>
      </c>
      <c r="S276" s="24">
        <f t="shared" si="1151"/>
        <v>0</v>
      </c>
      <c r="T276" s="24">
        <f>ROUND(INDEX($C$2:$C$5,MATCH($E276,$B$2:$B$5,0))*$J276/SUMIFS($J:$J,$E:$E,$E276,$B:$B,$B276,S:S,1)*IF(B276=$B$10,0.9,1),0)</f>
        <v>900</v>
      </c>
      <c r="U276" s="24">
        <f t="shared" si="1151"/>
        <v>0</v>
      </c>
      <c r="V276" s="24">
        <f>ROUND(INDEX($C$2:$C$5,MATCH($E276,$B$2:$B$5,0))*$K276/SUMIFS($K:$K,$E:$E,$E276,$B:$B,$B276,U:U,1)*IF(B276=$B$10,0.9,1),0)</f>
        <v>900</v>
      </c>
      <c r="W276" s="24">
        <f t="shared" ref="W276:AA276" si="1152">IF($L276&lt;=W$8,1,0)</f>
        <v>1</v>
      </c>
      <c r="X276" s="24">
        <f>ROUND(INDEX($C$2:$C$5,MATCH($E276,$B$2:$B$5,0))*$F276/SUMIFS($F:$F,$E:$E,$E276,$B:$B,$B276,W:W,1)*IF(B276=$B$10,0.9,1),0)</f>
        <v>750</v>
      </c>
      <c r="Y276" s="24">
        <f t="shared" si="1152"/>
        <v>1</v>
      </c>
      <c r="Z276" s="24">
        <f>ROUND(INDEX($C$2:$C$5,MATCH($E276,$B$2:$B$5,0))*$G276/SUMIFS($G:$G,$E:$E,$E276,$B:$B,$B276,Y:Y,1)*IF(B276=$B$10,0.9,1),0)</f>
        <v>750</v>
      </c>
      <c r="AA276" s="24">
        <f t="shared" si="1152"/>
        <v>1</v>
      </c>
      <c r="AB276" s="24">
        <f>ROUND(INDEX($C$2:$C$5,MATCH($E276,$B$2:$B$5,0))*$H276/SUMIFS($H:$H,$E:$E,$E276,$B:$B,$B276,AA:AA,1)*IF(B276=$B$10,0.9,1),0)</f>
        <v>750</v>
      </c>
      <c r="AC276" s="24">
        <f t="shared" ref="AC276:AG276" si="1153">IF($L276&lt;=AC$8,1,0)</f>
        <v>1</v>
      </c>
      <c r="AD276" s="24">
        <f>ROUND(INDEX($C$2:$C$5,MATCH($E276,$B$2:$B$5,0))*$F276/SUMIFS($F:$F,$E:$E,$E276,$B:$B,$B276,AC:AC,1)*IF(B276=$B$10,0.9,1),0)</f>
        <v>750</v>
      </c>
      <c r="AE276" s="24">
        <f t="shared" si="1153"/>
        <v>1</v>
      </c>
      <c r="AF276" s="24">
        <f>ROUND(INDEX($C$2:$C$5,MATCH($E276,$B$2:$B$5,0))*$G276/SUMIFS($G:$G,$E:$E,$E276,$B:$B,$B276,AE:AE,1)*IF(B276=$B$10,0.9,1),0)</f>
        <v>750</v>
      </c>
      <c r="AG276" s="24">
        <f t="shared" si="1153"/>
        <v>1</v>
      </c>
      <c r="AH276" s="24">
        <f>ROUND(INDEX($C$2:$C$5,MATCH($E276,$B$2:$B$5,0))*$H276/SUMIFS($H:$H,$E:$E,$E276,$B:$B,$B276,AG:AG,1)*IF(B276=$B$10,0.9,1),0)</f>
        <v>750</v>
      </c>
      <c r="AI276" s="24">
        <f t="shared" ref="AI276:AM276" si="1154">IF($L276&lt;=AI$8,1,0)</f>
        <v>1</v>
      </c>
      <c r="AJ276" s="24">
        <f>ROUND(INDEX($C$2:$C$5,MATCH($E276,$B$2:$B$5,0))*$F276/SUMIFS($F:$F,$E:$E,$E276,$B:$B,$B276,AI:AI,1)*IF(B276=$B$10,0.9,1),0)</f>
        <v>750</v>
      </c>
      <c r="AK276" s="24">
        <f t="shared" si="1154"/>
        <v>1</v>
      </c>
      <c r="AL276" s="24">
        <f>ROUND(INDEX($C$2:$C$5,MATCH($E276,$B$2:$B$5,0))*$G276/SUMIFS($G:$G,$E:$E,$E276,$B:$B,$B276,AK:AK,1)*IF(B276=$B$10,0.9,1),0)</f>
        <v>750</v>
      </c>
      <c r="AM276" s="24">
        <f t="shared" si="1154"/>
        <v>1</v>
      </c>
      <c r="AN276" s="24">
        <f>ROUND(INDEX($C$2:$C$5,MATCH($E276,$B$2:$B$5,0))*$H276/SUMIFS($H:$H,$E:$E,$E276,$B:$B,$B276,AM:AM,1)*IF(B276=$B$10,0.9,1),0)</f>
        <v>750</v>
      </c>
      <c r="AX276" s="4" t="str">
        <f t="shared" si="1101"/>
        <v>1,750</v>
      </c>
      <c r="AY276" s="4" t="str">
        <f t="shared" si="1102"/>
        <v>0,900</v>
      </c>
      <c r="AZ276" s="4" t="str">
        <f t="shared" si="1103"/>
        <v>0,900</v>
      </c>
      <c r="BA276" s="4" t="str">
        <f t="shared" si="1104"/>
        <v>0,900</v>
      </c>
      <c r="BB276" s="4" t="str">
        <f t="shared" si="1105"/>
        <v>1,750</v>
      </c>
      <c r="BC276" s="4" t="str">
        <f t="shared" si="1106"/>
        <v>1,750</v>
      </c>
      <c r="BD276" s="4" t="str">
        <f t="shared" si="1107"/>
        <v>1,750</v>
      </c>
      <c r="BE276" s="4" t="str">
        <f t="shared" si="1108"/>
        <v>1,750</v>
      </c>
      <c r="BF276" s="4" t="str">
        <f t="shared" si="1109"/>
        <v>1,750</v>
      </c>
      <c r="BG276" s="4" t="str">
        <f t="shared" si="1110"/>
        <v>1,750</v>
      </c>
      <c r="BH276" s="4" t="str">
        <f t="shared" si="1111"/>
        <v>1,750</v>
      </c>
      <c r="BI276" s="4" t="str">
        <f t="shared" si="1112"/>
        <v>1,750</v>
      </c>
      <c r="BJ276" s="4" t="str">
        <f t="shared" si="1113"/>
        <v>1,750</v>
      </c>
    </row>
    <row r="277" customHeight="1" spans="1:62">
      <c r="A277" s="62">
        <v>1632</v>
      </c>
      <c r="B277" s="55" t="s">
        <v>120</v>
      </c>
      <c r="C277" s="64" t="s">
        <v>218</v>
      </c>
      <c r="D277" s="44" t="s">
        <v>381</v>
      </c>
      <c r="E277" s="67">
        <v>2</v>
      </c>
      <c r="F277" s="35">
        <v>1</v>
      </c>
      <c r="G277" s="35">
        <f t="shared" si="1114"/>
        <v>1</v>
      </c>
      <c r="H277" s="35">
        <v>1</v>
      </c>
      <c r="I277" s="35">
        <v>1</v>
      </c>
      <c r="J277" s="35">
        <v>1</v>
      </c>
      <c r="K277" s="35">
        <v>1</v>
      </c>
      <c r="L277" s="35">
        <v>1</v>
      </c>
      <c r="M277" s="35"/>
      <c r="N277">
        <f>INDEX($C$2:$C$5,MATCH(E277,$B$2:$B$5,0))</f>
        <v>4500</v>
      </c>
      <c r="O277" s="35">
        <v>1</v>
      </c>
      <c r="P277" s="24">
        <f>ROUND(INDEX($C$2:$C$5,MATCH($E277,$B$2:$B$5,0))*$F277/SUMIFS($F:$F,$E:$E,$E277,$B:$B,$B277,O:O,1)*IF(B277=$B$10,0.9,1),0)</f>
        <v>750</v>
      </c>
      <c r="Q277" s="24">
        <f t="shared" ref="Q277:U277" si="1155">IF($L277&lt;=Q$8,1,0)</f>
        <v>1</v>
      </c>
      <c r="R277" s="24">
        <f>ROUND(INDEX($C$2:$C$5,MATCH($E277,$B$2:$B$5,0))*$I277/SUMIFS($I:$I,$E:$E,$E277,$B:$B,$B277,Q:Q,1)*IF(B277=$B$10,0.9,1),0)</f>
        <v>900</v>
      </c>
      <c r="S277" s="24">
        <f t="shared" si="1155"/>
        <v>1</v>
      </c>
      <c r="T277" s="24">
        <f>ROUND(INDEX($C$2:$C$5,MATCH($E277,$B$2:$B$5,0))*$J277/SUMIFS($J:$J,$E:$E,$E277,$B:$B,$B277,S:S,1)*IF(B277=$B$10,0.9,1),0)</f>
        <v>900</v>
      </c>
      <c r="U277" s="24">
        <f t="shared" si="1155"/>
        <v>1</v>
      </c>
      <c r="V277" s="24">
        <f>ROUND(INDEX($C$2:$C$5,MATCH($E277,$B$2:$B$5,0))*$K277/SUMIFS($K:$K,$E:$E,$E277,$B:$B,$B277,U:U,1)*IF(B277=$B$10,0.9,1),0)</f>
        <v>900</v>
      </c>
      <c r="W277" s="24">
        <f t="shared" ref="W277:AA277" si="1156">IF($L277&lt;=W$8,1,0)</f>
        <v>1</v>
      </c>
      <c r="X277" s="24">
        <f>ROUND(INDEX($C$2:$C$5,MATCH($E277,$B$2:$B$5,0))*$F277/SUMIFS($F:$F,$E:$E,$E277,$B:$B,$B277,W:W,1)*IF(B277=$B$10,0.9,1),0)</f>
        <v>750</v>
      </c>
      <c r="Y277" s="24">
        <f t="shared" si="1156"/>
        <v>1</v>
      </c>
      <c r="Z277" s="24">
        <f>ROUND(INDEX($C$2:$C$5,MATCH($E277,$B$2:$B$5,0))*$G277/SUMIFS($G:$G,$E:$E,$E277,$B:$B,$B277,Y:Y,1)*IF(B277=$B$10,0.9,1),0)</f>
        <v>750</v>
      </c>
      <c r="AA277" s="24">
        <f t="shared" si="1156"/>
        <v>1</v>
      </c>
      <c r="AB277" s="24">
        <f>ROUND(INDEX($C$2:$C$5,MATCH($E277,$B$2:$B$5,0))*$H277/SUMIFS($H:$H,$E:$E,$E277,$B:$B,$B277,AA:AA,1)*IF(B277=$B$10,0.9,1),0)</f>
        <v>750</v>
      </c>
      <c r="AC277" s="24">
        <f t="shared" ref="AC277:AG277" si="1157">IF($L277&lt;=AC$8,1,0)</f>
        <v>1</v>
      </c>
      <c r="AD277" s="24">
        <f>ROUND(INDEX($C$2:$C$5,MATCH($E277,$B$2:$B$5,0))*$F277/SUMIFS($F:$F,$E:$E,$E277,$B:$B,$B277,AC:AC,1)*IF(B277=$B$10,0.9,1),0)</f>
        <v>750</v>
      </c>
      <c r="AE277" s="24">
        <f t="shared" si="1157"/>
        <v>1</v>
      </c>
      <c r="AF277" s="24">
        <f>ROUND(INDEX($C$2:$C$5,MATCH($E277,$B$2:$B$5,0))*$G277/SUMIFS($G:$G,$E:$E,$E277,$B:$B,$B277,AE:AE,1)*IF(B277=$B$10,0.9,1),0)</f>
        <v>750</v>
      </c>
      <c r="AG277" s="24">
        <f t="shared" si="1157"/>
        <v>1</v>
      </c>
      <c r="AH277" s="24">
        <f>ROUND(INDEX($C$2:$C$5,MATCH($E277,$B$2:$B$5,0))*$H277/SUMIFS($H:$H,$E:$E,$E277,$B:$B,$B277,AG:AG,1)*IF(B277=$B$10,0.9,1),0)</f>
        <v>750</v>
      </c>
      <c r="AI277" s="24">
        <f t="shared" ref="AI277:AM277" si="1158">IF($L277&lt;=AI$8,1,0)</f>
        <v>1</v>
      </c>
      <c r="AJ277" s="24">
        <f>ROUND(INDEX($C$2:$C$5,MATCH($E277,$B$2:$B$5,0))*$F277/SUMIFS($F:$F,$E:$E,$E277,$B:$B,$B277,AI:AI,1)*IF(B277=$B$10,0.9,1),0)</f>
        <v>750</v>
      </c>
      <c r="AK277" s="24">
        <f t="shared" si="1158"/>
        <v>1</v>
      </c>
      <c r="AL277" s="24">
        <f>ROUND(INDEX($C$2:$C$5,MATCH($E277,$B$2:$B$5,0))*$G277/SUMIFS($G:$G,$E:$E,$E277,$B:$B,$B277,AK:AK,1)*IF(B277=$B$10,0.9,1),0)</f>
        <v>750</v>
      </c>
      <c r="AM277" s="24">
        <f t="shared" si="1158"/>
        <v>1</v>
      </c>
      <c r="AN277" s="24">
        <f>ROUND(INDEX($C$2:$C$5,MATCH($E277,$B$2:$B$5,0))*$H277/SUMIFS($H:$H,$E:$E,$E277,$B:$B,$B277,AM:AM,1)*IF(B277=$B$10,0.9,1),0)</f>
        <v>750</v>
      </c>
      <c r="AX277" s="4" t="str">
        <f t="shared" si="1101"/>
        <v>1,750</v>
      </c>
      <c r="AY277" s="4" t="str">
        <f t="shared" si="1102"/>
        <v>1,900</v>
      </c>
      <c r="AZ277" s="4" t="str">
        <f t="shared" si="1103"/>
        <v>1,900</v>
      </c>
      <c r="BA277" s="4" t="str">
        <f t="shared" si="1104"/>
        <v>1,900</v>
      </c>
      <c r="BB277" s="4" t="str">
        <f t="shared" si="1105"/>
        <v>1,750</v>
      </c>
      <c r="BC277" s="4" t="str">
        <f t="shared" si="1106"/>
        <v>1,750</v>
      </c>
      <c r="BD277" s="4" t="str">
        <f t="shared" si="1107"/>
        <v>1,750</v>
      </c>
      <c r="BE277" s="4" t="str">
        <f t="shared" si="1108"/>
        <v>1,750</v>
      </c>
      <c r="BF277" s="4" t="str">
        <f t="shared" si="1109"/>
        <v>1,750</v>
      </c>
      <c r="BG277" s="4" t="str">
        <f t="shared" si="1110"/>
        <v>1,750</v>
      </c>
      <c r="BH277" s="4" t="str">
        <f t="shared" si="1111"/>
        <v>1,750</v>
      </c>
      <c r="BI277" s="4" t="str">
        <f t="shared" si="1112"/>
        <v>1,750</v>
      </c>
      <c r="BJ277" s="4" t="str">
        <f t="shared" si="1113"/>
        <v>1,750</v>
      </c>
    </row>
    <row r="278" customHeight="1" spans="1:62">
      <c r="A278" s="62">
        <v>1641</v>
      </c>
      <c r="B278" s="55" t="s">
        <v>120</v>
      </c>
      <c r="C278" s="64"/>
      <c r="D278" s="46" t="s">
        <v>124</v>
      </c>
      <c r="E278" s="62">
        <v>3</v>
      </c>
      <c r="F278" s="35">
        <v>1</v>
      </c>
      <c r="G278" s="35">
        <f t="shared" si="1114"/>
        <v>1</v>
      </c>
      <c r="H278" s="35">
        <v>1</v>
      </c>
      <c r="I278" s="35">
        <v>1</v>
      </c>
      <c r="J278" s="35">
        <v>1</v>
      </c>
      <c r="K278" s="35">
        <v>1</v>
      </c>
      <c r="L278" s="35">
        <v>2</v>
      </c>
      <c r="M278" s="35"/>
      <c r="N278">
        <f>INDEX($C$2:$C$5,MATCH(E278,$B$2:$B$5,0))</f>
        <v>1500</v>
      </c>
      <c r="O278" s="35">
        <v>1</v>
      </c>
      <c r="P278" s="24">
        <f>ROUND(INDEX($C$2:$C$5,MATCH($E278,$B$2:$B$5,0))*$F278/SUMIFS($F:$F,$E:$E,$E278,$B:$B,$B278,O:O,1)*IF(B278=$B$10,0.9,1),0)</f>
        <v>250</v>
      </c>
      <c r="Q278" s="24">
        <f t="shared" ref="Q278:U278" si="1159">IF($L278&lt;=Q$8,1,0)</f>
        <v>0</v>
      </c>
      <c r="R278" s="24">
        <f>ROUND(INDEX($C$2:$C$5,MATCH($E278,$B$2:$B$5,0))*$I278/SUMIFS($I:$I,$E:$E,$E278,$B:$B,$B278,Q:Q,1)*IF(B278=$B$10,0.9,1),0)</f>
        <v>300</v>
      </c>
      <c r="S278" s="24">
        <f t="shared" si="1159"/>
        <v>0</v>
      </c>
      <c r="T278" s="24">
        <f>ROUND(INDEX($C$2:$C$5,MATCH($E278,$B$2:$B$5,0))*$J278/SUMIFS($J:$J,$E:$E,$E278,$B:$B,$B278,S:S,1)*IF(B278=$B$10,0.9,1),0)</f>
        <v>300</v>
      </c>
      <c r="U278" s="24">
        <f t="shared" si="1159"/>
        <v>0</v>
      </c>
      <c r="V278" s="24">
        <f>ROUND(INDEX($C$2:$C$5,MATCH($E278,$B$2:$B$5,0))*$K278/SUMIFS($K:$K,$E:$E,$E278,$B:$B,$B278,U:U,1)*IF(B278=$B$10,0.9,1),0)</f>
        <v>300</v>
      </c>
      <c r="W278" s="24">
        <f t="shared" ref="W278:AA278" si="1160">IF($L278&lt;=W$8,1,0)</f>
        <v>1</v>
      </c>
      <c r="X278" s="24">
        <f>ROUND(INDEX($C$2:$C$5,MATCH($E278,$B$2:$B$5,0))*$F278/SUMIFS($F:$F,$E:$E,$E278,$B:$B,$B278,W:W,1)*IF(B278=$B$10,0.9,1),0)</f>
        <v>250</v>
      </c>
      <c r="Y278" s="24">
        <f t="shared" si="1160"/>
        <v>1</v>
      </c>
      <c r="Z278" s="24">
        <f>ROUND(INDEX($C$2:$C$5,MATCH($E278,$B$2:$B$5,0))*$G278/SUMIFS($G:$G,$E:$E,$E278,$B:$B,$B278,Y:Y,1)*IF(B278=$B$10,0.9,1),0)</f>
        <v>250</v>
      </c>
      <c r="AA278" s="24">
        <f t="shared" si="1160"/>
        <v>1</v>
      </c>
      <c r="AB278" s="24">
        <f>ROUND(INDEX($C$2:$C$5,MATCH($E278,$B$2:$B$5,0))*$H278/SUMIFS($H:$H,$E:$E,$E278,$B:$B,$B278,AA:AA,1)*IF(B278=$B$10,0.9,1),0)</f>
        <v>250</v>
      </c>
      <c r="AC278" s="24">
        <f t="shared" ref="AC278:AG278" si="1161">IF($L278&lt;=AC$8,1,0)</f>
        <v>1</v>
      </c>
      <c r="AD278" s="24">
        <f>ROUND(INDEX($C$2:$C$5,MATCH($E278,$B$2:$B$5,0))*$F278/SUMIFS($F:$F,$E:$E,$E278,$B:$B,$B278,AC:AC,1)*IF(B278=$B$10,0.9,1),0)</f>
        <v>250</v>
      </c>
      <c r="AE278" s="24">
        <f t="shared" si="1161"/>
        <v>1</v>
      </c>
      <c r="AF278" s="24">
        <f>ROUND(INDEX($C$2:$C$5,MATCH($E278,$B$2:$B$5,0))*$G278/SUMIFS($G:$G,$E:$E,$E278,$B:$B,$B278,AE:AE,1)*IF(B278=$B$10,0.9,1),0)</f>
        <v>250</v>
      </c>
      <c r="AG278" s="24">
        <f t="shared" si="1161"/>
        <v>1</v>
      </c>
      <c r="AH278" s="24">
        <f>ROUND(INDEX($C$2:$C$5,MATCH($E278,$B$2:$B$5,0))*$H278/SUMIFS($H:$H,$E:$E,$E278,$B:$B,$B278,AG:AG,1)*IF(B278=$B$10,0.9,1),0)</f>
        <v>250</v>
      </c>
      <c r="AI278" s="24">
        <f t="shared" ref="AI278:AM278" si="1162">IF($L278&lt;=AI$8,1,0)</f>
        <v>1</v>
      </c>
      <c r="AJ278" s="24">
        <f>ROUND(INDEX($C$2:$C$5,MATCH($E278,$B$2:$B$5,0))*$F278/SUMIFS($F:$F,$E:$E,$E278,$B:$B,$B278,AI:AI,1)*IF(B278=$B$10,0.9,1),0)</f>
        <v>250</v>
      </c>
      <c r="AK278" s="24">
        <f t="shared" si="1162"/>
        <v>1</v>
      </c>
      <c r="AL278" s="24">
        <f>ROUND(INDEX($C$2:$C$5,MATCH($E278,$B$2:$B$5,0))*$G278/SUMIFS($G:$G,$E:$E,$E278,$B:$B,$B278,AK:AK,1)*IF(B278=$B$10,0.9,1),0)</f>
        <v>250</v>
      </c>
      <c r="AM278" s="24">
        <f t="shared" si="1162"/>
        <v>1</v>
      </c>
      <c r="AN278" s="24">
        <f>ROUND(INDEX($C$2:$C$5,MATCH($E278,$B$2:$B$5,0))*$H278/SUMIFS($H:$H,$E:$E,$E278,$B:$B,$B278,AM:AM,1)*IF(B278=$B$10,0.9,1),0)</f>
        <v>250</v>
      </c>
      <c r="AX278" s="4" t="str">
        <f t="shared" si="1101"/>
        <v>1,250</v>
      </c>
      <c r="AY278" s="4" t="str">
        <f t="shared" si="1102"/>
        <v>0,300</v>
      </c>
      <c r="AZ278" s="4" t="str">
        <f t="shared" si="1103"/>
        <v>0,300</v>
      </c>
      <c r="BA278" s="4" t="str">
        <f t="shared" si="1104"/>
        <v>0,300</v>
      </c>
      <c r="BB278" s="4" t="str">
        <f t="shared" si="1105"/>
        <v>1,250</v>
      </c>
      <c r="BC278" s="4" t="str">
        <f t="shared" si="1106"/>
        <v>1,250</v>
      </c>
      <c r="BD278" s="4" t="str">
        <f t="shared" si="1107"/>
        <v>1,250</v>
      </c>
      <c r="BE278" s="4" t="str">
        <f t="shared" si="1108"/>
        <v>1,250</v>
      </c>
      <c r="BF278" s="4" t="str">
        <f t="shared" si="1109"/>
        <v>1,250</v>
      </c>
      <c r="BG278" s="4" t="str">
        <f t="shared" si="1110"/>
        <v>1,250</v>
      </c>
      <c r="BH278" s="4" t="str">
        <f t="shared" si="1111"/>
        <v>1,250</v>
      </c>
      <c r="BI278" s="4" t="str">
        <f t="shared" si="1112"/>
        <v>1,250</v>
      </c>
      <c r="BJ278" s="4" t="str">
        <f t="shared" si="1113"/>
        <v>1,250</v>
      </c>
    </row>
    <row r="279" customHeight="1" spans="1:62">
      <c r="A279" s="62">
        <v>1642</v>
      </c>
      <c r="B279" s="55" t="s">
        <v>120</v>
      </c>
      <c r="C279" s="64"/>
      <c r="D279" s="46" t="s">
        <v>424</v>
      </c>
      <c r="E279" s="65">
        <v>3</v>
      </c>
      <c r="F279" s="35">
        <v>1</v>
      </c>
      <c r="G279" s="35">
        <f t="shared" si="1114"/>
        <v>1</v>
      </c>
      <c r="H279" s="35">
        <v>1</v>
      </c>
      <c r="I279" s="35">
        <v>1</v>
      </c>
      <c r="J279" s="35">
        <v>1</v>
      </c>
      <c r="K279" s="35">
        <v>1</v>
      </c>
      <c r="L279" s="35">
        <v>1</v>
      </c>
      <c r="M279" s="35"/>
      <c r="N279">
        <f>INDEX($C$2:$C$5,MATCH(E279,$B$2:$B$5,0))</f>
        <v>1500</v>
      </c>
      <c r="O279" s="35">
        <v>1</v>
      </c>
      <c r="P279" s="24">
        <f>ROUND(INDEX($C$2:$C$5,MATCH($E279,$B$2:$B$5,0))*$F279/SUMIFS($F:$F,$E:$E,$E279,$B:$B,$B279,O:O,1)*IF(B279=$B$10,0.9,1),0)</f>
        <v>250</v>
      </c>
      <c r="Q279" s="24">
        <f t="shared" ref="Q279:U279" si="1163">IF($L279&lt;=Q$8,1,0)</f>
        <v>1</v>
      </c>
      <c r="R279" s="24">
        <f>ROUND(INDEX($C$2:$C$5,MATCH($E279,$B$2:$B$5,0))*$I279/SUMIFS($I:$I,$E:$E,$E279,$B:$B,$B279,Q:Q,1)*IF(B279=$B$10,0.9,1),0)</f>
        <v>300</v>
      </c>
      <c r="S279" s="24">
        <f t="shared" si="1163"/>
        <v>1</v>
      </c>
      <c r="T279" s="24">
        <f>ROUND(INDEX($C$2:$C$5,MATCH($E279,$B$2:$B$5,0))*$J279/SUMIFS($J:$J,$E:$E,$E279,$B:$B,$B279,S:S,1)*IF(B279=$B$10,0.9,1),0)</f>
        <v>300</v>
      </c>
      <c r="U279" s="24">
        <f t="shared" si="1163"/>
        <v>1</v>
      </c>
      <c r="V279" s="24">
        <f>ROUND(INDEX($C$2:$C$5,MATCH($E279,$B$2:$B$5,0))*$K279/SUMIFS($K:$K,$E:$E,$E279,$B:$B,$B279,U:U,1)*IF(B279=$B$10,0.9,1),0)</f>
        <v>300</v>
      </c>
      <c r="W279" s="24">
        <f t="shared" ref="W279:AA279" si="1164">IF($L279&lt;=W$8,1,0)</f>
        <v>1</v>
      </c>
      <c r="X279" s="24">
        <f>ROUND(INDEX($C$2:$C$5,MATCH($E279,$B$2:$B$5,0))*$F279/SUMIFS($F:$F,$E:$E,$E279,$B:$B,$B279,W:W,1)*IF(B279=$B$10,0.9,1),0)</f>
        <v>250</v>
      </c>
      <c r="Y279" s="24">
        <f t="shared" si="1164"/>
        <v>1</v>
      </c>
      <c r="Z279" s="24">
        <f>ROUND(INDEX($C$2:$C$5,MATCH($E279,$B$2:$B$5,0))*$G279/SUMIFS($G:$G,$E:$E,$E279,$B:$B,$B279,Y:Y,1)*IF(B279=$B$10,0.9,1),0)</f>
        <v>250</v>
      </c>
      <c r="AA279" s="24">
        <f t="shared" si="1164"/>
        <v>1</v>
      </c>
      <c r="AB279" s="24">
        <f>ROUND(INDEX($C$2:$C$5,MATCH($E279,$B$2:$B$5,0))*$H279/SUMIFS($H:$H,$E:$E,$E279,$B:$B,$B279,AA:AA,1)*IF(B279=$B$10,0.9,1),0)</f>
        <v>250</v>
      </c>
      <c r="AC279" s="24">
        <f t="shared" ref="AC279:AG279" si="1165">IF($L279&lt;=AC$8,1,0)</f>
        <v>1</v>
      </c>
      <c r="AD279" s="24">
        <f>ROUND(INDEX($C$2:$C$5,MATCH($E279,$B$2:$B$5,0))*$F279/SUMIFS($F:$F,$E:$E,$E279,$B:$B,$B279,AC:AC,1)*IF(B279=$B$10,0.9,1),0)</f>
        <v>250</v>
      </c>
      <c r="AE279" s="24">
        <f t="shared" si="1165"/>
        <v>1</v>
      </c>
      <c r="AF279" s="24">
        <f>ROUND(INDEX($C$2:$C$5,MATCH($E279,$B$2:$B$5,0))*$G279/SUMIFS($G:$G,$E:$E,$E279,$B:$B,$B279,AE:AE,1)*IF(B279=$B$10,0.9,1),0)</f>
        <v>250</v>
      </c>
      <c r="AG279" s="24">
        <f t="shared" si="1165"/>
        <v>1</v>
      </c>
      <c r="AH279" s="24">
        <f>ROUND(INDEX($C$2:$C$5,MATCH($E279,$B$2:$B$5,0))*$H279/SUMIFS($H:$H,$E:$E,$E279,$B:$B,$B279,AG:AG,1)*IF(B279=$B$10,0.9,1),0)</f>
        <v>250</v>
      </c>
      <c r="AI279" s="24">
        <f t="shared" ref="AI279:AM279" si="1166">IF($L279&lt;=AI$8,1,0)</f>
        <v>1</v>
      </c>
      <c r="AJ279" s="24">
        <f>ROUND(INDEX($C$2:$C$5,MATCH($E279,$B$2:$B$5,0))*$F279/SUMIFS($F:$F,$E:$E,$E279,$B:$B,$B279,AI:AI,1)*IF(B279=$B$10,0.9,1),0)</f>
        <v>250</v>
      </c>
      <c r="AK279" s="24">
        <f t="shared" si="1166"/>
        <v>1</v>
      </c>
      <c r="AL279" s="24">
        <f>ROUND(INDEX($C$2:$C$5,MATCH($E279,$B$2:$B$5,0))*$G279/SUMIFS($G:$G,$E:$E,$E279,$B:$B,$B279,AK:AK,1)*IF(B279=$B$10,0.9,1),0)</f>
        <v>250</v>
      </c>
      <c r="AM279" s="24">
        <f t="shared" si="1166"/>
        <v>1</v>
      </c>
      <c r="AN279" s="24">
        <f>ROUND(INDEX($C$2:$C$5,MATCH($E279,$B$2:$B$5,0))*$H279/SUMIFS($H:$H,$E:$E,$E279,$B:$B,$B279,AM:AM,1)*IF(B279=$B$10,0.9,1),0)</f>
        <v>250</v>
      </c>
      <c r="AX279" s="4" t="str">
        <f t="shared" si="1101"/>
        <v>1,250</v>
      </c>
      <c r="AY279" s="4" t="str">
        <f t="shared" si="1102"/>
        <v>1,300</v>
      </c>
      <c r="AZ279" s="4" t="str">
        <f t="shared" si="1103"/>
        <v>1,300</v>
      </c>
      <c r="BA279" s="4" t="str">
        <f t="shared" si="1104"/>
        <v>1,300</v>
      </c>
      <c r="BB279" s="4" t="str">
        <f t="shared" si="1105"/>
        <v>1,250</v>
      </c>
      <c r="BC279" s="4" t="str">
        <f t="shared" si="1106"/>
        <v>1,250</v>
      </c>
      <c r="BD279" s="4" t="str">
        <f t="shared" si="1107"/>
        <v>1,250</v>
      </c>
      <c r="BE279" s="4" t="str">
        <f t="shared" si="1108"/>
        <v>1,250</v>
      </c>
      <c r="BF279" s="4" t="str">
        <f t="shared" si="1109"/>
        <v>1,250</v>
      </c>
      <c r="BG279" s="4" t="str">
        <f t="shared" si="1110"/>
        <v>1,250</v>
      </c>
      <c r="BH279" s="4" t="str">
        <f t="shared" si="1111"/>
        <v>1,250</v>
      </c>
      <c r="BI279" s="4" t="str">
        <f t="shared" si="1112"/>
        <v>1,250</v>
      </c>
      <c r="BJ279" s="4" t="str">
        <f t="shared" si="1113"/>
        <v>1,250</v>
      </c>
    </row>
    <row r="280" customHeight="1" spans="1:62">
      <c r="A280" s="62">
        <v>1651</v>
      </c>
      <c r="B280" s="55" t="s">
        <v>120</v>
      </c>
      <c r="C280" s="64"/>
      <c r="D280" s="47" t="s">
        <v>39</v>
      </c>
      <c r="E280" s="65">
        <v>4</v>
      </c>
      <c r="F280" s="35">
        <v>1</v>
      </c>
      <c r="G280" s="35">
        <f t="shared" si="1114"/>
        <v>1</v>
      </c>
      <c r="H280" s="35">
        <v>1</v>
      </c>
      <c r="I280" s="35">
        <v>1</v>
      </c>
      <c r="J280" s="35">
        <v>1</v>
      </c>
      <c r="K280" s="35">
        <v>1</v>
      </c>
      <c r="L280" s="35">
        <v>3</v>
      </c>
      <c r="M280" s="35" t="s">
        <v>136</v>
      </c>
      <c r="N280">
        <f>INDEX($C$2:$C$5,MATCH(E280,$B$2:$B$5,0))</f>
        <v>500</v>
      </c>
      <c r="O280" s="35">
        <v>1</v>
      </c>
      <c r="P280" s="24">
        <f>ROUND(INDEX($C$2:$C$5,MATCH($E280,$B$2:$B$5,0))*$F280/SUMIFS($F:$F,$E:$E,$E280,$B:$B,$B280,O:O,1)*IF(B280=$B$10,0.9,1),0)</f>
        <v>250</v>
      </c>
      <c r="Q280" s="24">
        <f t="shared" ref="Q280:U280" si="1167">IF($L280&lt;=Q$8,1,0)</f>
        <v>0</v>
      </c>
      <c r="R280" s="24">
        <f>ROUND(INDEX($C$2:$C$5,MATCH($E280,$B$2:$B$5,0))*$I280/SUMIFS($I:$I,$E:$E,$E280,$B:$B,$B280,Q:Q,1)*IF(B280=$B$10,0.9,1),0)</f>
        <v>500</v>
      </c>
      <c r="S280" s="24">
        <f t="shared" si="1167"/>
        <v>0</v>
      </c>
      <c r="T280" s="24">
        <f>ROUND(INDEX($C$2:$C$5,MATCH($E280,$B$2:$B$5,0))*$J280/SUMIFS($J:$J,$E:$E,$E280,$B:$B,$B280,S:S,1)*IF(B280=$B$10,0.9,1),0)</f>
        <v>500</v>
      </c>
      <c r="U280" s="24">
        <f t="shared" si="1167"/>
        <v>0</v>
      </c>
      <c r="V280" s="24">
        <f>ROUND(INDEX($C$2:$C$5,MATCH($E280,$B$2:$B$5,0))*$K280/SUMIFS($K:$K,$E:$E,$E280,$B:$B,$B280,U:U,1)*IF(B280=$B$10,0.9,1),0)</f>
        <v>500</v>
      </c>
      <c r="W280" s="24">
        <f t="shared" ref="W280:AA280" si="1168">IF($L280&lt;=W$8,1,0)</f>
        <v>0</v>
      </c>
      <c r="X280" s="24">
        <f>ROUND(INDEX($C$2:$C$5,MATCH($E280,$B$2:$B$5,0))*$F280/SUMIFS($F:$F,$E:$E,$E280,$B:$B,$B280,W:W,1)*IF(B280=$B$10,0.9,1),0)</f>
        <v>500</v>
      </c>
      <c r="Y280" s="24">
        <f t="shared" si="1168"/>
        <v>0</v>
      </c>
      <c r="Z280" s="24">
        <f>ROUND(INDEX($C$2:$C$5,MATCH($E280,$B$2:$B$5,0))*$G280/SUMIFS($G:$G,$E:$E,$E280,$B:$B,$B280,Y:Y,1)*IF(B280=$B$10,0.9,1),0)</f>
        <v>500</v>
      </c>
      <c r="AA280" s="24">
        <f t="shared" si="1168"/>
        <v>0</v>
      </c>
      <c r="AB280" s="24">
        <f>ROUND(INDEX($C$2:$C$5,MATCH($E280,$B$2:$B$5,0))*$H280/SUMIFS($H:$H,$E:$E,$E280,$B:$B,$B280,AA:AA,1)*IF(B280=$B$10,0.9,1),0)</f>
        <v>500</v>
      </c>
      <c r="AC280" s="24">
        <f t="shared" ref="AC280:AG280" si="1169">IF($L280&lt;=AC$8,1,0)</f>
        <v>1</v>
      </c>
      <c r="AD280" s="24">
        <f>ROUND(INDEX($C$2:$C$5,MATCH($E280,$B$2:$B$5,0))*$F280/SUMIFS($F:$F,$E:$E,$E280,$B:$B,$B280,AC:AC,1)*IF(B280=$B$10,0.9,1),0)</f>
        <v>250</v>
      </c>
      <c r="AE280" s="24">
        <f t="shared" si="1169"/>
        <v>1</v>
      </c>
      <c r="AF280" s="24">
        <f>ROUND(INDEX($C$2:$C$5,MATCH($E280,$B$2:$B$5,0))*$G280/SUMIFS($G:$G,$E:$E,$E280,$B:$B,$B280,AE:AE,1)*IF(B280=$B$10,0.9,1),0)</f>
        <v>250</v>
      </c>
      <c r="AG280" s="24">
        <f t="shared" si="1169"/>
        <v>1</v>
      </c>
      <c r="AH280" s="24">
        <f>ROUND(INDEX($C$2:$C$5,MATCH($E280,$B$2:$B$5,0))*$H280/SUMIFS($H:$H,$E:$E,$E280,$B:$B,$B280,AG:AG,1)*IF(B280=$B$10,0.9,1),0)</f>
        <v>250</v>
      </c>
      <c r="AI280" s="24">
        <f t="shared" ref="AI280:AM280" si="1170">IF($L280&lt;=AI$8,1,0)</f>
        <v>1</v>
      </c>
      <c r="AJ280" s="24">
        <f>ROUND(INDEX($C$2:$C$5,MATCH($E280,$B$2:$B$5,0))*$F280/SUMIFS($F:$F,$E:$E,$E280,$B:$B,$B280,AI:AI,1)*IF(B280=$B$10,0.9,1),0)</f>
        <v>250</v>
      </c>
      <c r="AK280" s="24">
        <f t="shared" si="1170"/>
        <v>1</v>
      </c>
      <c r="AL280" s="24">
        <f>ROUND(INDEX($C$2:$C$5,MATCH($E280,$B$2:$B$5,0))*$G280/SUMIFS($G:$G,$E:$E,$E280,$B:$B,$B280,AK:AK,1)*IF(B280=$B$10,0.9,1),0)</f>
        <v>250</v>
      </c>
      <c r="AM280" s="24">
        <f t="shared" si="1170"/>
        <v>1</v>
      </c>
      <c r="AN280" s="24">
        <f>ROUND(INDEX($C$2:$C$5,MATCH($E280,$B$2:$B$5,0))*$H280/SUMIFS($H:$H,$E:$E,$E280,$B:$B,$B280,AM:AM,1)*IF(B280=$B$10,0.9,1),0)</f>
        <v>250</v>
      </c>
      <c r="AX280" s="4" t="str">
        <f t="shared" si="1101"/>
        <v>1,250</v>
      </c>
      <c r="AY280" s="4" t="str">
        <f t="shared" si="1102"/>
        <v>0,500</v>
      </c>
      <c r="AZ280" s="4" t="str">
        <f t="shared" si="1103"/>
        <v>0,500</v>
      </c>
      <c r="BA280" s="4" t="str">
        <f t="shared" si="1104"/>
        <v>0,500</v>
      </c>
      <c r="BB280" s="4" t="str">
        <f t="shared" si="1105"/>
        <v>0,500</v>
      </c>
      <c r="BC280" s="4" t="str">
        <f t="shared" si="1106"/>
        <v>0,500</v>
      </c>
      <c r="BD280" s="4" t="str">
        <f t="shared" si="1107"/>
        <v>0,500</v>
      </c>
      <c r="BE280" s="4" t="str">
        <f t="shared" si="1108"/>
        <v>1,250</v>
      </c>
      <c r="BF280" s="4" t="str">
        <f t="shared" si="1109"/>
        <v>1,250</v>
      </c>
      <c r="BG280" s="4" t="str">
        <f t="shared" si="1110"/>
        <v>1,250</v>
      </c>
      <c r="BH280" s="4" t="str">
        <f t="shared" si="1111"/>
        <v>1,250</v>
      </c>
      <c r="BI280" s="4" t="str">
        <f t="shared" si="1112"/>
        <v>1,250</v>
      </c>
      <c r="BJ280" s="4" t="str">
        <f t="shared" si="1113"/>
        <v>1,250</v>
      </c>
    </row>
    <row r="281" s="36" customFormat="1" customHeight="1" spans="1:62">
      <c r="A281" s="68">
        <v>1652</v>
      </c>
      <c r="B281" s="69" t="s">
        <v>120</v>
      </c>
      <c r="C281" s="70"/>
      <c r="D281" s="48" t="s">
        <v>80</v>
      </c>
      <c r="E281" s="71">
        <v>4</v>
      </c>
      <c r="F281" s="72">
        <v>1</v>
      </c>
      <c r="G281" s="72">
        <f t="shared" si="1114"/>
        <v>1</v>
      </c>
      <c r="H281" s="72">
        <v>1</v>
      </c>
      <c r="I281" s="72">
        <v>1</v>
      </c>
      <c r="J281" s="72">
        <v>1</v>
      </c>
      <c r="K281" s="72">
        <v>1</v>
      </c>
      <c r="L281" s="72">
        <v>1</v>
      </c>
      <c r="M281" s="72"/>
      <c r="N281" s="36">
        <f>INDEX($C$2:$C$5,MATCH(E281,$B$2:$B$5,0))</f>
        <v>500</v>
      </c>
      <c r="O281" s="72">
        <v>1</v>
      </c>
      <c r="P281" s="79">
        <f>ROUND(INDEX($C$2:$C$5,MATCH($E281,$B$2:$B$5,0))*$F281/SUMIFS($F:$F,$E:$E,$E281,$B:$B,$B281,O:O,1)*IF(B281=$B$10,0.9,1),0)</f>
        <v>250</v>
      </c>
      <c r="Q281" s="79">
        <f t="shared" ref="Q281:U281" si="1171">IF($L281&lt;=Q$8,1,0)</f>
        <v>1</v>
      </c>
      <c r="R281" s="79">
        <f>ROUND(INDEX($C$2:$C$5,MATCH($E281,$B$2:$B$5,0))*$I281/SUMIFS($I:$I,$E:$E,$E281,$B:$B,$B281,Q:Q,1)*IF(B281=$B$10,0.9,1),0)</f>
        <v>500</v>
      </c>
      <c r="S281" s="79">
        <f t="shared" si="1171"/>
        <v>1</v>
      </c>
      <c r="T281" s="79">
        <f>ROUND(INDEX($C$2:$C$5,MATCH($E281,$B$2:$B$5,0))*$J281/SUMIFS($J:$J,$E:$E,$E281,$B:$B,$B281,S:S,1)*IF(B281=$B$10,0.9,1),0)</f>
        <v>500</v>
      </c>
      <c r="U281" s="79">
        <f t="shared" si="1171"/>
        <v>1</v>
      </c>
      <c r="V281" s="79">
        <f>ROUND(INDEX($C$2:$C$5,MATCH($E281,$B$2:$B$5,0))*$K281/SUMIFS($K:$K,$E:$E,$E281,$B:$B,$B281,U:U,1)*IF(B281=$B$10,0.9,1),0)</f>
        <v>500</v>
      </c>
      <c r="W281" s="79">
        <f t="shared" ref="W281:AA281" si="1172">IF($L281&lt;=W$8,1,0)</f>
        <v>1</v>
      </c>
      <c r="X281" s="79">
        <f>ROUND(INDEX($C$2:$C$5,MATCH($E281,$B$2:$B$5,0))*$F281/SUMIFS($F:$F,$E:$E,$E281,$B:$B,$B281,W:W,1)*IF(B281=$B$10,0.9,1),0)</f>
        <v>500</v>
      </c>
      <c r="Y281" s="79">
        <f t="shared" si="1172"/>
        <v>1</v>
      </c>
      <c r="Z281" s="79">
        <f>ROUND(INDEX($C$2:$C$5,MATCH($E281,$B$2:$B$5,0))*$G281/SUMIFS($G:$G,$E:$E,$E281,$B:$B,$B281,Y:Y,1)*IF(B281=$B$10,0.9,1),0)</f>
        <v>500</v>
      </c>
      <c r="AA281" s="79">
        <f t="shared" si="1172"/>
        <v>1</v>
      </c>
      <c r="AB281" s="79">
        <f>ROUND(INDEX($C$2:$C$5,MATCH($E281,$B$2:$B$5,0))*$H281/SUMIFS($H:$H,$E:$E,$E281,$B:$B,$B281,AA:AA,1)*IF(B281=$B$10,0.9,1),0)</f>
        <v>500</v>
      </c>
      <c r="AC281" s="79">
        <f t="shared" ref="AC281:AG281" si="1173">IF($L281&lt;=AC$8,1,0)</f>
        <v>1</v>
      </c>
      <c r="AD281" s="79">
        <f>ROUND(INDEX($C$2:$C$5,MATCH($E281,$B$2:$B$5,0))*$F281/SUMIFS($F:$F,$E:$E,$E281,$B:$B,$B281,AC:AC,1)*IF(B281=$B$10,0.9,1),0)</f>
        <v>250</v>
      </c>
      <c r="AE281" s="79">
        <f t="shared" si="1173"/>
        <v>1</v>
      </c>
      <c r="AF281" s="79">
        <f>ROUND(INDEX($C$2:$C$5,MATCH($E281,$B$2:$B$5,0))*$G281/SUMIFS($G:$G,$E:$E,$E281,$B:$B,$B281,AE:AE,1)*IF(B281=$B$10,0.9,1),0)</f>
        <v>250</v>
      </c>
      <c r="AG281" s="79">
        <f t="shared" si="1173"/>
        <v>1</v>
      </c>
      <c r="AH281" s="79">
        <f>ROUND(INDEX($C$2:$C$5,MATCH($E281,$B$2:$B$5,0))*$H281/SUMIFS($H:$H,$E:$E,$E281,$B:$B,$B281,AG:AG,1)*IF(B281=$B$10,0.9,1),0)</f>
        <v>250</v>
      </c>
      <c r="AI281" s="79">
        <f t="shared" ref="AI281:AM281" si="1174">IF($L281&lt;=AI$8,1,0)</f>
        <v>1</v>
      </c>
      <c r="AJ281" s="79">
        <f>ROUND(INDEX($C$2:$C$5,MATCH($E281,$B$2:$B$5,0))*$F281/SUMIFS($F:$F,$E:$E,$E281,$B:$B,$B281,AI:AI,1)*IF(B281=$B$10,0.9,1),0)</f>
        <v>250</v>
      </c>
      <c r="AK281" s="79">
        <f t="shared" si="1174"/>
        <v>1</v>
      </c>
      <c r="AL281" s="79">
        <f>ROUND(INDEX($C$2:$C$5,MATCH($E281,$B$2:$B$5,0))*$G281/SUMIFS($G:$G,$E:$E,$E281,$B:$B,$B281,AK:AK,1)*IF(B281=$B$10,0.9,1),0)</f>
        <v>250</v>
      </c>
      <c r="AM281" s="79">
        <f t="shared" si="1174"/>
        <v>1</v>
      </c>
      <c r="AN281" s="79">
        <f>ROUND(INDEX($C$2:$C$5,MATCH($E281,$B$2:$B$5,0))*$H281/SUMIFS($H:$H,$E:$E,$E281,$B:$B,$B281,AM:AM,1)*IF(B281=$B$10,0.9,1),0)</f>
        <v>250</v>
      </c>
      <c r="AX281" s="81" t="str">
        <f t="shared" si="1101"/>
        <v>1,250</v>
      </c>
      <c r="AY281" s="81" t="str">
        <f t="shared" si="1102"/>
        <v>1,500</v>
      </c>
      <c r="AZ281" s="81" t="str">
        <f t="shared" si="1103"/>
        <v>1,500</v>
      </c>
      <c r="BA281" s="81" t="str">
        <f t="shared" si="1104"/>
        <v>1,500</v>
      </c>
      <c r="BB281" s="81" t="str">
        <f t="shared" si="1105"/>
        <v>1,500</v>
      </c>
      <c r="BC281" s="81" t="str">
        <f t="shared" si="1106"/>
        <v>1,500</v>
      </c>
      <c r="BD281" s="81" t="str">
        <f t="shared" si="1107"/>
        <v>1,500</v>
      </c>
      <c r="BE281" s="81" t="str">
        <f t="shared" si="1108"/>
        <v>1,250</v>
      </c>
      <c r="BF281" s="81" t="str">
        <f t="shared" si="1109"/>
        <v>1,250</v>
      </c>
      <c r="BG281" s="81" t="str">
        <f t="shared" si="1110"/>
        <v>1,250</v>
      </c>
      <c r="BH281" s="81" t="str">
        <f t="shared" si="1111"/>
        <v>1,250</v>
      </c>
      <c r="BI281" s="81" t="str">
        <f t="shared" si="1112"/>
        <v>1,250</v>
      </c>
      <c r="BJ281" s="81" t="str">
        <f t="shared" si="1113"/>
        <v>1,250</v>
      </c>
    </row>
    <row r="282" customHeight="1" spans="1:62">
      <c r="A282" s="73">
        <f>A265+100</f>
        <v>1701</v>
      </c>
      <c r="B282" s="74" t="s">
        <v>126</v>
      </c>
      <c r="C282" s="75" t="s">
        <v>218</v>
      </c>
      <c r="D282" s="76" t="s">
        <v>356</v>
      </c>
      <c r="E282" s="77">
        <v>1</v>
      </c>
      <c r="F282" s="78">
        <v>1</v>
      </c>
      <c r="G282" s="78">
        <f t="shared" si="1114"/>
        <v>1</v>
      </c>
      <c r="H282" s="78">
        <v>1</v>
      </c>
      <c r="I282" s="78">
        <v>1</v>
      </c>
      <c r="J282" s="78">
        <v>1</v>
      </c>
      <c r="K282" s="78">
        <v>1</v>
      </c>
      <c r="L282" s="78">
        <v>1</v>
      </c>
      <c r="M282" s="78"/>
      <c r="N282">
        <f>INDEX($C$2:$C$5,MATCH(E282,$B$2:$B$5,0))</f>
        <v>13500</v>
      </c>
      <c r="O282" s="78">
        <v>1</v>
      </c>
      <c r="P282" s="80">
        <f>ROUND(INDEX($C$2:$C$5,MATCH($E282,$B$2:$B$5,0))*$F282/SUMIFS($F:$F,$E:$E,$E282,$B:$B,$B282,O:O,1)*IF(B282=$B$10,0.9,1),0)</f>
        <v>4500</v>
      </c>
      <c r="Q282" s="80">
        <f t="shared" ref="Q282:U282" si="1175">IF($L282&lt;=Q$8,1,0)</f>
        <v>1</v>
      </c>
      <c r="R282" s="80">
        <f>ROUND(INDEX($C$2:$C$5,MATCH($E282,$B$2:$B$5,0))*$I282/SUMIFS($I:$I,$E:$E,$E282,$B:$B,$B282,Q:Q,1)*IF(B282=$B$10,0.9,1),0)</f>
        <v>4500</v>
      </c>
      <c r="S282" s="80">
        <f t="shared" si="1175"/>
        <v>1</v>
      </c>
      <c r="T282" s="80">
        <f>ROUND(INDEX($C$2:$C$5,MATCH($E282,$B$2:$B$5,0))*$J282/SUMIFS($J:$J,$E:$E,$E282,$B:$B,$B282,S:S,1)*IF(B282=$B$10,0.9,1),0)</f>
        <v>4500</v>
      </c>
      <c r="U282" s="80">
        <f t="shared" si="1175"/>
        <v>1</v>
      </c>
      <c r="V282" s="80">
        <f>ROUND(INDEX($C$2:$C$5,MATCH($E282,$B$2:$B$5,0))*$K282/SUMIFS($K:$K,$E:$E,$E282,$B:$B,$B282,U:U,1)*IF(B282=$B$10,0.9,1),0)</f>
        <v>4500</v>
      </c>
      <c r="W282" s="80">
        <f t="shared" ref="W282:AA282" si="1176">IF($L282&lt;=W$8,1,0)</f>
        <v>1</v>
      </c>
      <c r="X282" s="80">
        <f>ROUND(INDEX($C$2:$C$5,MATCH($E282,$B$2:$B$5,0))*$F282/SUMIFS($F:$F,$E:$E,$E282,$B:$B,$B282,W:W,1)*IF(B282=$B$10,0.9,1),0)</f>
        <v>4500</v>
      </c>
      <c r="Y282" s="80">
        <f t="shared" si="1176"/>
        <v>1</v>
      </c>
      <c r="Z282" s="80">
        <f>ROUND(INDEX($C$2:$C$5,MATCH($E282,$B$2:$B$5,0))*$G282/SUMIFS($G:$G,$E:$E,$E282,$B:$B,$B282,Y:Y,1)*IF(B282=$B$10,0.9,1),0)</f>
        <v>4500</v>
      </c>
      <c r="AA282" s="80">
        <f t="shared" si="1176"/>
        <v>1</v>
      </c>
      <c r="AB282" s="80">
        <f>ROUND(INDEX($C$2:$C$5,MATCH($E282,$B$2:$B$5,0))*$H282/SUMIFS($H:$H,$E:$E,$E282,$B:$B,$B282,AA:AA,1)*IF(B282=$B$10,0.9,1),0)</f>
        <v>4500</v>
      </c>
      <c r="AC282" s="80">
        <f t="shared" ref="AC282:AG282" si="1177">IF($L282&lt;=AC$8,1,0)</f>
        <v>1</v>
      </c>
      <c r="AD282" s="80">
        <f>ROUND(INDEX($C$2:$C$5,MATCH($E282,$B$2:$B$5,0))*$F282/SUMIFS($F:$F,$E:$E,$E282,$B:$B,$B282,AC:AC,1)*IF(B282=$B$10,0.9,1),0)</f>
        <v>4500</v>
      </c>
      <c r="AE282" s="80">
        <f t="shared" si="1177"/>
        <v>1</v>
      </c>
      <c r="AF282" s="80">
        <f>ROUND(INDEX($C$2:$C$5,MATCH($E282,$B$2:$B$5,0))*$G282/SUMIFS($G:$G,$E:$E,$E282,$B:$B,$B282,AE:AE,1)*IF(B282=$B$10,0.9,1),0)</f>
        <v>4500</v>
      </c>
      <c r="AG282" s="80">
        <f t="shared" si="1177"/>
        <v>1</v>
      </c>
      <c r="AH282" s="80">
        <f>ROUND(INDEX($C$2:$C$5,MATCH($E282,$B$2:$B$5,0))*$H282/SUMIFS($H:$H,$E:$E,$E282,$B:$B,$B282,AG:AG,1)*IF(B282=$B$10,0.9,1),0)</f>
        <v>4500</v>
      </c>
      <c r="AI282" s="80">
        <f t="shared" ref="AI282:AM282" si="1178">IF($L282&lt;=AI$8,1,0)</f>
        <v>1</v>
      </c>
      <c r="AJ282" s="80">
        <f>ROUND(INDEX($C$2:$C$5,MATCH($E282,$B$2:$B$5,0))*$F282/SUMIFS($F:$F,$E:$E,$E282,$B:$B,$B282,AI:AI,1)*IF(B282=$B$10,0.9,1),0)</f>
        <v>4500</v>
      </c>
      <c r="AK282" s="80">
        <f t="shared" si="1178"/>
        <v>1</v>
      </c>
      <c r="AL282" s="80">
        <f>ROUND(INDEX($C$2:$C$5,MATCH($E282,$B$2:$B$5,0))*$G282/SUMIFS($G:$G,$E:$E,$E282,$B:$B,$B282,AK:AK,1)*IF(B282=$B$10,0.9,1),0)</f>
        <v>4500</v>
      </c>
      <c r="AM282" s="80">
        <f t="shared" si="1178"/>
        <v>1</v>
      </c>
      <c r="AN282" s="80">
        <f>ROUND(INDEX($C$2:$C$5,MATCH($E282,$B$2:$B$5,0))*$H282/SUMIFS($H:$H,$E:$E,$E282,$B:$B,$B282,AM:AM,1)*IF(B282=$B$10,0.9,1),0)</f>
        <v>4500</v>
      </c>
      <c r="AX282" s="4" t="str">
        <f t="shared" si="1101"/>
        <v>1,4500</v>
      </c>
      <c r="AY282" s="4" t="str">
        <f t="shared" si="1102"/>
        <v>1,4500</v>
      </c>
      <c r="AZ282" s="4" t="str">
        <f t="shared" si="1103"/>
        <v>1,4500</v>
      </c>
      <c r="BA282" s="4" t="str">
        <f t="shared" si="1104"/>
        <v>1,4500</v>
      </c>
      <c r="BB282" s="4" t="str">
        <f t="shared" si="1105"/>
        <v>1,4500</v>
      </c>
      <c r="BC282" s="4" t="str">
        <f t="shared" si="1106"/>
        <v>1,4500</v>
      </c>
      <c r="BD282" s="4" t="str">
        <f t="shared" si="1107"/>
        <v>1,4500</v>
      </c>
      <c r="BE282" s="4" t="str">
        <f t="shared" si="1108"/>
        <v>1,4500</v>
      </c>
      <c r="BF282" s="4" t="str">
        <f t="shared" si="1109"/>
        <v>1,4500</v>
      </c>
      <c r="BG282" s="4" t="str">
        <f t="shared" si="1110"/>
        <v>1,4500</v>
      </c>
      <c r="BH282" s="4" t="str">
        <f t="shared" si="1111"/>
        <v>1,4500</v>
      </c>
      <c r="BI282" s="4" t="str">
        <f t="shared" si="1112"/>
        <v>1,4500</v>
      </c>
      <c r="BJ282" s="4" t="str">
        <f t="shared" si="1113"/>
        <v>1,4500</v>
      </c>
    </row>
    <row r="283" customHeight="1" spans="1:62">
      <c r="A283" s="62">
        <f t="shared" ref="A283:A346" si="1179">A266+100</f>
        <v>1702</v>
      </c>
      <c r="B283" s="55" t="s">
        <v>126</v>
      </c>
      <c r="C283" s="64" t="s">
        <v>218</v>
      </c>
      <c r="D283" s="41" t="s">
        <v>357</v>
      </c>
      <c r="E283" s="67">
        <v>1</v>
      </c>
      <c r="F283" s="35">
        <v>1</v>
      </c>
      <c r="G283" s="35">
        <f t="shared" si="1114"/>
        <v>1</v>
      </c>
      <c r="H283" s="35">
        <v>1</v>
      </c>
      <c r="I283" s="35">
        <v>1</v>
      </c>
      <c r="J283" s="35">
        <v>1</v>
      </c>
      <c r="K283" s="35">
        <v>1</v>
      </c>
      <c r="L283" s="35">
        <v>1</v>
      </c>
      <c r="M283" s="35"/>
      <c r="N283">
        <f>INDEX($C$2:$C$5,MATCH(E283,$B$2:$B$5,0))</f>
        <v>13500</v>
      </c>
      <c r="O283" s="35">
        <v>1</v>
      </c>
      <c r="P283" s="24">
        <f>ROUND(INDEX($C$2:$C$5,MATCH($E283,$B$2:$B$5,0))*$F283/SUMIFS($F:$F,$E:$E,$E283,$B:$B,$B283,O:O,1)*IF(B283=$B$10,0.9,1),0)</f>
        <v>4500</v>
      </c>
      <c r="Q283" s="24">
        <f t="shared" ref="Q283:U283" si="1180">IF($L283&lt;=Q$8,1,0)</f>
        <v>1</v>
      </c>
      <c r="R283" s="24">
        <f>ROUND(INDEX($C$2:$C$5,MATCH($E283,$B$2:$B$5,0))*$I283/SUMIFS($I:$I,$E:$E,$E283,$B:$B,$B283,Q:Q,1)*IF(B283=$B$10,0.9,1),0)</f>
        <v>4500</v>
      </c>
      <c r="S283" s="24">
        <f t="shared" si="1180"/>
        <v>1</v>
      </c>
      <c r="T283" s="24">
        <f>ROUND(INDEX($C$2:$C$5,MATCH($E283,$B$2:$B$5,0))*$J283/SUMIFS($J:$J,$E:$E,$E283,$B:$B,$B283,S:S,1)*IF(B283=$B$10,0.9,1),0)</f>
        <v>4500</v>
      </c>
      <c r="U283" s="24">
        <f t="shared" si="1180"/>
        <v>1</v>
      </c>
      <c r="V283" s="24">
        <f>ROUND(INDEX($C$2:$C$5,MATCH($E283,$B$2:$B$5,0))*$K283/SUMIFS($K:$K,$E:$E,$E283,$B:$B,$B283,U:U,1)*IF(B283=$B$10,0.9,1),0)</f>
        <v>4500</v>
      </c>
      <c r="W283" s="24">
        <f t="shared" ref="W283:AA283" si="1181">IF($L283&lt;=W$8,1,0)</f>
        <v>1</v>
      </c>
      <c r="X283" s="24">
        <f>ROUND(INDEX($C$2:$C$5,MATCH($E283,$B$2:$B$5,0))*$F283/SUMIFS($F:$F,$E:$E,$E283,$B:$B,$B283,W:W,1)*IF(B283=$B$10,0.9,1),0)</f>
        <v>4500</v>
      </c>
      <c r="Y283" s="24">
        <f t="shared" si="1181"/>
        <v>1</v>
      </c>
      <c r="Z283" s="24">
        <f>ROUND(INDEX($C$2:$C$5,MATCH($E283,$B$2:$B$5,0))*$G283/SUMIFS($G:$G,$E:$E,$E283,$B:$B,$B283,Y:Y,1)*IF(B283=$B$10,0.9,1),0)</f>
        <v>4500</v>
      </c>
      <c r="AA283" s="24">
        <f t="shared" si="1181"/>
        <v>1</v>
      </c>
      <c r="AB283" s="24">
        <f>ROUND(INDEX($C$2:$C$5,MATCH($E283,$B$2:$B$5,0))*$H283/SUMIFS($H:$H,$E:$E,$E283,$B:$B,$B283,AA:AA,1)*IF(B283=$B$10,0.9,1),0)</f>
        <v>4500</v>
      </c>
      <c r="AC283" s="24">
        <f t="shared" ref="AC283:AG283" si="1182">IF($L283&lt;=AC$8,1,0)</f>
        <v>1</v>
      </c>
      <c r="AD283" s="24">
        <f>ROUND(INDEX($C$2:$C$5,MATCH($E283,$B$2:$B$5,0))*$F283/SUMIFS($F:$F,$E:$E,$E283,$B:$B,$B283,AC:AC,1)*IF(B283=$B$10,0.9,1),0)</f>
        <v>4500</v>
      </c>
      <c r="AE283" s="24">
        <f t="shared" si="1182"/>
        <v>1</v>
      </c>
      <c r="AF283" s="24">
        <f>ROUND(INDEX($C$2:$C$5,MATCH($E283,$B$2:$B$5,0))*$G283/SUMIFS($G:$G,$E:$E,$E283,$B:$B,$B283,AE:AE,1)*IF(B283=$B$10,0.9,1),0)</f>
        <v>4500</v>
      </c>
      <c r="AG283" s="24">
        <f t="shared" si="1182"/>
        <v>1</v>
      </c>
      <c r="AH283" s="24">
        <f>ROUND(INDEX($C$2:$C$5,MATCH($E283,$B$2:$B$5,0))*$H283/SUMIFS($H:$H,$E:$E,$E283,$B:$B,$B283,AG:AG,1)*IF(B283=$B$10,0.9,1),0)</f>
        <v>4500</v>
      </c>
      <c r="AI283" s="24">
        <f t="shared" ref="AI283:AM283" si="1183">IF($L283&lt;=AI$8,1,0)</f>
        <v>1</v>
      </c>
      <c r="AJ283" s="24">
        <f>ROUND(INDEX($C$2:$C$5,MATCH($E283,$B$2:$B$5,0))*$F283/SUMIFS($F:$F,$E:$E,$E283,$B:$B,$B283,AI:AI,1)*IF(B283=$B$10,0.9,1),0)</f>
        <v>4500</v>
      </c>
      <c r="AK283" s="24">
        <f t="shared" si="1183"/>
        <v>1</v>
      </c>
      <c r="AL283" s="24">
        <f>ROUND(INDEX($C$2:$C$5,MATCH($E283,$B$2:$B$5,0))*$G283/SUMIFS($G:$G,$E:$E,$E283,$B:$B,$B283,AK:AK,1)*IF(B283=$B$10,0.9,1),0)</f>
        <v>4500</v>
      </c>
      <c r="AM283" s="24">
        <f t="shared" si="1183"/>
        <v>1</v>
      </c>
      <c r="AN283" s="24">
        <f>ROUND(INDEX($C$2:$C$5,MATCH($E283,$B$2:$B$5,0))*$H283/SUMIFS($H:$H,$E:$E,$E283,$B:$B,$B283,AM:AM,1)*IF(B283=$B$10,0.9,1),0)</f>
        <v>4500</v>
      </c>
      <c r="AX283" s="4" t="str">
        <f t="shared" si="1101"/>
        <v>1,4500</v>
      </c>
      <c r="AY283" s="4" t="str">
        <f t="shared" si="1102"/>
        <v>1,4500</v>
      </c>
      <c r="AZ283" s="4" t="str">
        <f t="shared" si="1103"/>
        <v>1,4500</v>
      </c>
      <c r="BA283" s="4" t="str">
        <f t="shared" si="1104"/>
        <v>1,4500</v>
      </c>
      <c r="BB283" s="4" t="str">
        <f t="shared" si="1105"/>
        <v>1,4500</v>
      </c>
      <c r="BC283" s="4" t="str">
        <f t="shared" si="1106"/>
        <v>1,4500</v>
      </c>
      <c r="BD283" s="4" t="str">
        <f t="shared" si="1107"/>
        <v>1,4500</v>
      </c>
      <c r="BE283" s="4" t="str">
        <f t="shared" si="1108"/>
        <v>1,4500</v>
      </c>
      <c r="BF283" s="4" t="str">
        <f t="shared" si="1109"/>
        <v>1,4500</v>
      </c>
      <c r="BG283" s="4" t="str">
        <f t="shared" si="1110"/>
        <v>1,4500</v>
      </c>
      <c r="BH283" s="4" t="str">
        <f t="shared" si="1111"/>
        <v>1,4500</v>
      </c>
      <c r="BI283" s="4" t="str">
        <f t="shared" si="1112"/>
        <v>1,4500</v>
      </c>
      <c r="BJ283" s="4" t="str">
        <f t="shared" si="1113"/>
        <v>1,4500</v>
      </c>
    </row>
    <row r="284" customHeight="1" spans="1:62">
      <c r="A284" s="62">
        <f t="shared" si="1179"/>
        <v>1703</v>
      </c>
      <c r="B284" s="55" t="s">
        <v>126</v>
      </c>
      <c r="C284" s="64"/>
      <c r="D284" s="41" t="s">
        <v>361</v>
      </c>
      <c r="E284" s="62">
        <v>1</v>
      </c>
      <c r="F284" s="35">
        <v>1</v>
      </c>
      <c r="G284" s="35">
        <f t="shared" si="1114"/>
        <v>1</v>
      </c>
      <c r="H284" s="35">
        <v>1</v>
      </c>
      <c r="I284" s="35">
        <v>1</v>
      </c>
      <c r="J284" s="35">
        <v>1</v>
      </c>
      <c r="K284" s="35">
        <v>1</v>
      </c>
      <c r="L284" s="35">
        <v>1</v>
      </c>
      <c r="M284" s="35"/>
      <c r="N284">
        <f>INDEX($C$2:$C$5,MATCH(E284,$B$2:$B$5,0))</f>
        <v>13500</v>
      </c>
      <c r="O284" s="35">
        <v>1</v>
      </c>
      <c r="P284" s="24">
        <f>ROUND(INDEX($C$2:$C$5,MATCH($E284,$B$2:$B$5,0))*$F284/SUMIFS($F:$F,$E:$E,$E284,$B:$B,$B284,O:O,1)*IF(B284=$B$10,0.9,1),0)</f>
        <v>4500</v>
      </c>
      <c r="Q284" s="24">
        <f t="shared" ref="Q284:U284" si="1184">IF($L284&lt;=Q$8,1,0)</f>
        <v>1</v>
      </c>
      <c r="R284" s="24">
        <f>ROUND(INDEX($C$2:$C$5,MATCH($E284,$B$2:$B$5,0))*$I284/SUMIFS($I:$I,$E:$E,$E284,$B:$B,$B284,Q:Q,1)*IF(B284=$B$10,0.9,1),0)</f>
        <v>4500</v>
      </c>
      <c r="S284" s="24">
        <f t="shared" si="1184"/>
        <v>1</v>
      </c>
      <c r="T284" s="24">
        <f>ROUND(INDEX($C$2:$C$5,MATCH($E284,$B$2:$B$5,0))*$J284/SUMIFS($J:$J,$E:$E,$E284,$B:$B,$B284,S:S,1)*IF(B284=$B$10,0.9,1),0)</f>
        <v>4500</v>
      </c>
      <c r="U284" s="24">
        <f t="shared" si="1184"/>
        <v>1</v>
      </c>
      <c r="V284" s="24">
        <f>ROUND(INDEX($C$2:$C$5,MATCH($E284,$B$2:$B$5,0))*$K284/SUMIFS($K:$K,$E:$E,$E284,$B:$B,$B284,U:U,1)*IF(B284=$B$10,0.9,1),0)</f>
        <v>4500</v>
      </c>
      <c r="W284" s="24">
        <f t="shared" ref="W284:AA284" si="1185">IF($L284&lt;=W$8,1,0)</f>
        <v>1</v>
      </c>
      <c r="X284" s="24">
        <f>ROUND(INDEX($C$2:$C$5,MATCH($E284,$B$2:$B$5,0))*$F284/SUMIFS($F:$F,$E:$E,$E284,$B:$B,$B284,W:W,1)*IF(B284=$B$10,0.9,1),0)</f>
        <v>4500</v>
      </c>
      <c r="Y284" s="24">
        <f t="shared" si="1185"/>
        <v>1</v>
      </c>
      <c r="Z284" s="24">
        <f>ROUND(INDEX($C$2:$C$5,MATCH($E284,$B$2:$B$5,0))*$G284/SUMIFS($G:$G,$E:$E,$E284,$B:$B,$B284,Y:Y,1)*IF(B284=$B$10,0.9,1),0)</f>
        <v>4500</v>
      </c>
      <c r="AA284" s="24">
        <f t="shared" si="1185"/>
        <v>1</v>
      </c>
      <c r="AB284" s="24">
        <f>ROUND(INDEX($C$2:$C$5,MATCH($E284,$B$2:$B$5,0))*$H284/SUMIFS($H:$H,$E:$E,$E284,$B:$B,$B284,AA:AA,1)*IF(B284=$B$10,0.9,1),0)</f>
        <v>4500</v>
      </c>
      <c r="AC284" s="24">
        <f t="shared" ref="AC284:AG284" si="1186">IF($L284&lt;=AC$8,1,0)</f>
        <v>1</v>
      </c>
      <c r="AD284" s="24">
        <f>ROUND(INDEX($C$2:$C$5,MATCH($E284,$B$2:$B$5,0))*$F284/SUMIFS($F:$F,$E:$E,$E284,$B:$B,$B284,AC:AC,1)*IF(B284=$B$10,0.9,1),0)</f>
        <v>4500</v>
      </c>
      <c r="AE284" s="24">
        <f t="shared" si="1186"/>
        <v>1</v>
      </c>
      <c r="AF284" s="24">
        <f>ROUND(INDEX($C$2:$C$5,MATCH($E284,$B$2:$B$5,0))*$G284/SUMIFS($G:$G,$E:$E,$E284,$B:$B,$B284,AE:AE,1)*IF(B284=$B$10,0.9,1),0)</f>
        <v>4500</v>
      </c>
      <c r="AG284" s="24">
        <f t="shared" si="1186"/>
        <v>1</v>
      </c>
      <c r="AH284" s="24">
        <f>ROUND(INDEX($C$2:$C$5,MATCH($E284,$B$2:$B$5,0))*$H284/SUMIFS($H:$H,$E:$E,$E284,$B:$B,$B284,AG:AG,1)*IF(B284=$B$10,0.9,1),0)</f>
        <v>4500</v>
      </c>
      <c r="AI284" s="24">
        <f t="shared" ref="AI284:AM284" si="1187">IF($L284&lt;=AI$8,1,0)</f>
        <v>1</v>
      </c>
      <c r="AJ284" s="24">
        <f>ROUND(INDEX($C$2:$C$5,MATCH($E284,$B$2:$B$5,0))*$F284/SUMIFS($F:$F,$E:$E,$E284,$B:$B,$B284,AI:AI,1)*IF(B284=$B$10,0.9,1),0)</f>
        <v>4500</v>
      </c>
      <c r="AK284" s="24">
        <f t="shared" si="1187"/>
        <v>1</v>
      </c>
      <c r="AL284" s="24">
        <f>ROUND(INDEX($C$2:$C$5,MATCH($E284,$B$2:$B$5,0))*$G284/SUMIFS($G:$G,$E:$E,$E284,$B:$B,$B284,AK:AK,1)*IF(B284=$B$10,0.9,1),0)</f>
        <v>4500</v>
      </c>
      <c r="AM284" s="24">
        <f t="shared" si="1187"/>
        <v>1</v>
      </c>
      <c r="AN284" s="24">
        <f>ROUND(INDEX($C$2:$C$5,MATCH($E284,$B$2:$B$5,0))*$H284/SUMIFS($H:$H,$E:$E,$E284,$B:$B,$B284,AM:AM,1)*IF(B284=$B$10,0.9,1),0)</f>
        <v>4500</v>
      </c>
      <c r="AX284" s="4" t="str">
        <f t="shared" si="1101"/>
        <v>1,4500</v>
      </c>
      <c r="AY284" s="4" t="str">
        <f t="shared" si="1102"/>
        <v>1,4500</v>
      </c>
      <c r="AZ284" s="4" t="str">
        <f t="shared" si="1103"/>
        <v>1,4500</v>
      </c>
      <c r="BA284" s="4" t="str">
        <f t="shared" si="1104"/>
        <v>1,4500</v>
      </c>
      <c r="BB284" s="4" t="str">
        <f t="shared" si="1105"/>
        <v>1,4500</v>
      </c>
      <c r="BC284" s="4" t="str">
        <f t="shared" si="1106"/>
        <v>1,4500</v>
      </c>
      <c r="BD284" s="4" t="str">
        <f t="shared" si="1107"/>
        <v>1,4500</v>
      </c>
      <c r="BE284" s="4" t="str">
        <f t="shared" si="1108"/>
        <v>1,4500</v>
      </c>
      <c r="BF284" s="4" t="str">
        <f t="shared" si="1109"/>
        <v>1,4500</v>
      </c>
      <c r="BG284" s="4" t="str">
        <f t="shared" si="1110"/>
        <v>1,4500</v>
      </c>
      <c r="BH284" s="4" t="str">
        <f t="shared" si="1111"/>
        <v>1,4500</v>
      </c>
      <c r="BI284" s="4" t="str">
        <f t="shared" si="1112"/>
        <v>1,4500</v>
      </c>
      <c r="BJ284" s="4" t="str">
        <f t="shared" si="1113"/>
        <v>1,4500</v>
      </c>
    </row>
    <row r="285" customHeight="1" spans="1:62">
      <c r="A285" s="62">
        <f t="shared" si="1179"/>
        <v>1711</v>
      </c>
      <c r="B285" s="55" t="s">
        <v>126</v>
      </c>
      <c r="C285" s="64"/>
      <c r="D285" s="44" t="s">
        <v>362</v>
      </c>
      <c r="E285" s="65">
        <v>2</v>
      </c>
      <c r="F285" s="35">
        <v>1</v>
      </c>
      <c r="G285" s="35">
        <f t="shared" si="1114"/>
        <v>1</v>
      </c>
      <c r="H285" s="35">
        <v>1</v>
      </c>
      <c r="I285" s="35">
        <v>1</v>
      </c>
      <c r="J285" s="35">
        <v>1</v>
      </c>
      <c r="K285" s="35">
        <v>1</v>
      </c>
      <c r="L285" s="35">
        <v>1</v>
      </c>
      <c r="M285" s="35"/>
      <c r="N285">
        <f>INDEX($C$2:$C$5,MATCH(E285,$B$2:$B$5,0))</f>
        <v>4500</v>
      </c>
      <c r="O285" s="35">
        <v>1</v>
      </c>
      <c r="P285" s="24">
        <f>ROUND(INDEX($C$2:$C$5,MATCH($E285,$B$2:$B$5,0))*$F285/SUMIFS($F:$F,$E:$E,$E285,$B:$B,$B285,O:O,1)*IF(B285=$B$10,0.9,1),0)</f>
        <v>750</v>
      </c>
      <c r="Q285" s="24">
        <f t="shared" ref="Q285:U285" si="1188">IF($L285&lt;=Q$8,1,0)</f>
        <v>1</v>
      </c>
      <c r="R285" s="24">
        <f>ROUND(INDEX($C$2:$C$5,MATCH($E285,$B$2:$B$5,0))*$I285/SUMIFS($I:$I,$E:$E,$E285,$B:$B,$B285,Q:Q,1)*IF(B285=$B$10,0.9,1),0)</f>
        <v>900</v>
      </c>
      <c r="S285" s="24">
        <f t="shared" si="1188"/>
        <v>1</v>
      </c>
      <c r="T285" s="24">
        <f>ROUND(INDEX($C$2:$C$5,MATCH($E285,$B$2:$B$5,0))*$J285/SUMIFS($J:$J,$E:$E,$E285,$B:$B,$B285,S:S,1)*IF(B285=$B$10,0.9,1),0)</f>
        <v>900</v>
      </c>
      <c r="U285" s="24">
        <f t="shared" si="1188"/>
        <v>1</v>
      </c>
      <c r="V285" s="24">
        <f>ROUND(INDEX($C$2:$C$5,MATCH($E285,$B$2:$B$5,0))*$K285/SUMIFS($K:$K,$E:$E,$E285,$B:$B,$B285,U:U,1)*IF(B285=$B$10,0.9,1),0)</f>
        <v>900</v>
      </c>
      <c r="W285" s="24">
        <f t="shared" ref="W285:AA285" si="1189">IF($L285&lt;=W$8,1,0)</f>
        <v>1</v>
      </c>
      <c r="X285" s="24">
        <f>ROUND(INDEX($C$2:$C$5,MATCH($E285,$B$2:$B$5,0))*$F285/SUMIFS($F:$F,$E:$E,$E285,$B:$B,$B285,W:W,1)*IF(B285=$B$10,0.9,1),0)</f>
        <v>750</v>
      </c>
      <c r="Y285" s="24">
        <f t="shared" si="1189"/>
        <v>1</v>
      </c>
      <c r="Z285" s="24">
        <f>ROUND(INDEX($C$2:$C$5,MATCH($E285,$B$2:$B$5,0))*$G285/SUMIFS($G:$G,$E:$E,$E285,$B:$B,$B285,Y:Y,1)*IF(B285=$B$10,0.9,1),0)</f>
        <v>750</v>
      </c>
      <c r="AA285" s="24">
        <f t="shared" si="1189"/>
        <v>1</v>
      </c>
      <c r="AB285" s="24">
        <f>ROUND(INDEX($C$2:$C$5,MATCH($E285,$B$2:$B$5,0))*$H285/SUMIFS($H:$H,$E:$E,$E285,$B:$B,$B285,AA:AA,1)*IF(B285=$B$10,0.9,1),0)</f>
        <v>750</v>
      </c>
      <c r="AC285" s="24">
        <f t="shared" ref="AC285:AG285" si="1190">IF($L285&lt;=AC$8,1,0)</f>
        <v>1</v>
      </c>
      <c r="AD285" s="24">
        <f>ROUND(INDEX($C$2:$C$5,MATCH($E285,$B$2:$B$5,0))*$F285/SUMIFS($F:$F,$E:$E,$E285,$B:$B,$B285,AC:AC,1)*IF(B285=$B$10,0.9,1),0)</f>
        <v>750</v>
      </c>
      <c r="AE285" s="24">
        <f t="shared" si="1190"/>
        <v>1</v>
      </c>
      <c r="AF285" s="24">
        <f>ROUND(INDEX($C$2:$C$5,MATCH($E285,$B$2:$B$5,0))*$G285/SUMIFS($G:$G,$E:$E,$E285,$B:$B,$B285,AE:AE,1)*IF(B285=$B$10,0.9,1),0)</f>
        <v>750</v>
      </c>
      <c r="AG285" s="24">
        <f t="shared" si="1190"/>
        <v>1</v>
      </c>
      <c r="AH285" s="24">
        <f>ROUND(INDEX($C$2:$C$5,MATCH($E285,$B$2:$B$5,0))*$H285/SUMIFS($H:$H,$E:$E,$E285,$B:$B,$B285,AG:AG,1)*IF(B285=$B$10,0.9,1),0)</f>
        <v>750</v>
      </c>
      <c r="AI285" s="24">
        <f t="shared" ref="AI285:AM285" si="1191">IF($L285&lt;=AI$8,1,0)</f>
        <v>1</v>
      </c>
      <c r="AJ285" s="24">
        <f>ROUND(INDEX($C$2:$C$5,MATCH($E285,$B$2:$B$5,0))*$F285/SUMIFS($F:$F,$E:$E,$E285,$B:$B,$B285,AI:AI,1)*IF(B285=$B$10,0.9,1),0)</f>
        <v>750</v>
      </c>
      <c r="AK285" s="24">
        <f t="shared" si="1191"/>
        <v>1</v>
      </c>
      <c r="AL285" s="24">
        <f>ROUND(INDEX($C$2:$C$5,MATCH($E285,$B$2:$B$5,0))*$G285/SUMIFS($G:$G,$E:$E,$E285,$B:$B,$B285,AK:AK,1)*IF(B285=$B$10,0.9,1),0)</f>
        <v>750</v>
      </c>
      <c r="AM285" s="24">
        <f t="shared" si="1191"/>
        <v>1</v>
      </c>
      <c r="AN285" s="24">
        <f>ROUND(INDEX($C$2:$C$5,MATCH($E285,$B$2:$B$5,0))*$H285/SUMIFS($H:$H,$E:$E,$E285,$B:$B,$B285,AM:AM,1)*IF(B285=$B$10,0.9,1),0)</f>
        <v>750</v>
      </c>
      <c r="AX285" s="4" t="str">
        <f t="shared" si="1101"/>
        <v>1,750</v>
      </c>
      <c r="AY285" s="4" t="str">
        <f t="shared" si="1102"/>
        <v>1,900</v>
      </c>
      <c r="AZ285" s="4" t="str">
        <f t="shared" si="1103"/>
        <v>1,900</v>
      </c>
      <c r="BA285" s="4" t="str">
        <f t="shared" si="1104"/>
        <v>1,900</v>
      </c>
      <c r="BB285" s="4" t="str">
        <f t="shared" si="1105"/>
        <v>1,750</v>
      </c>
      <c r="BC285" s="4" t="str">
        <f t="shared" si="1106"/>
        <v>1,750</v>
      </c>
      <c r="BD285" s="4" t="str">
        <f t="shared" si="1107"/>
        <v>1,750</v>
      </c>
      <c r="BE285" s="4" t="str">
        <f t="shared" si="1108"/>
        <v>1,750</v>
      </c>
      <c r="BF285" s="4" t="str">
        <f t="shared" si="1109"/>
        <v>1,750</v>
      </c>
      <c r="BG285" s="4" t="str">
        <f t="shared" si="1110"/>
        <v>1,750</v>
      </c>
      <c r="BH285" s="4" t="str">
        <f t="shared" si="1111"/>
        <v>1,750</v>
      </c>
      <c r="BI285" s="4" t="str">
        <f t="shared" si="1112"/>
        <v>1,750</v>
      </c>
      <c r="BJ285" s="4" t="str">
        <f t="shared" si="1113"/>
        <v>1,750</v>
      </c>
    </row>
    <row r="286" customHeight="1" spans="1:62">
      <c r="A286" s="62">
        <f t="shared" si="1179"/>
        <v>1712</v>
      </c>
      <c r="B286" s="55" t="s">
        <v>126</v>
      </c>
      <c r="C286" s="64"/>
      <c r="D286" s="44" t="s">
        <v>363</v>
      </c>
      <c r="E286" s="65">
        <v>2</v>
      </c>
      <c r="F286" s="35">
        <v>1</v>
      </c>
      <c r="G286" s="35">
        <f t="shared" si="1114"/>
        <v>1</v>
      </c>
      <c r="H286" s="35">
        <v>1</v>
      </c>
      <c r="I286" s="35">
        <v>1</v>
      </c>
      <c r="J286" s="35">
        <v>1</v>
      </c>
      <c r="K286" s="35">
        <v>1</v>
      </c>
      <c r="L286" s="35">
        <v>1</v>
      </c>
      <c r="M286" s="35" t="s">
        <v>136</v>
      </c>
      <c r="N286">
        <f>INDEX($C$2:$C$5,MATCH(E286,$B$2:$B$5,0))</f>
        <v>4500</v>
      </c>
      <c r="O286" s="35">
        <v>1</v>
      </c>
      <c r="P286" s="24">
        <f>ROUND(INDEX($C$2:$C$5,MATCH($E286,$B$2:$B$5,0))*$F286/SUMIFS($F:$F,$E:$E,$E286,$B:$B,$B286,O:O,1)*IF(B286=$B$10,0.9,1),0)</f>
        <v>750</v>
      </c>
      <c r="Q286" s="24">
        <f t="shared" ref="Q286:U286" si="1192">IF($L286&lt;=Q$8,1,0)</f>
        <v>1</v>
      </c>
      <c r="R286" s="24">
        <f>ROUND(INDEX($C$2:$C$5,MATCH($E286,$B$2:$B$5,0))*$I286/SUMIFS($I:$I,$E:$E,$E286,$B:$B,$B286,Q:Q,1)*IF(B286=$B$10,0.9,1),0)</f>
        <v>900</v>
      </c>
      <c r="S286" s="24">
        <f t="shared" si="1192"/>
        <v>1</v>
      </c>
      <c r="T286" s="24">
        <f>ROUND(INDEX($C$2:$C$5,MATCH($E286,$B$2:$B$5,0))*$J286/SUMIFS($J:$J,$E:$E,$E286,$B:$B,$B286,S:S,1)*IF(B286=$B$10,0.9,1),0)</f>
        <v>900</v>
      </c>
      <c r="U286" s="24">
        <f t="shared" si="1192"/>
        <v>1</v>
      </c>
      <c r="V286" s="24">
        <f>ROUND(INDEX($C$2:$C$5,MATCH($E286,$B$2:$B$5,0))*$K286/SUMIFS($K:$K,$E:$E,$E286,$B:$B,$B286,U:U,1)*IF(B286=$B$10,0.9,1),0)</f>
        <v>900</v>
      </c>
      <c r="W286" s="24">
        <f t="shared" ref="W286:AA286" si="1193">IF($L286&lt;=W$8,1,0)</f>
        <v>1</v>
      </c>
      <c r="X286" s="24">
        <f>ROUND(INDEX($C$2:$C$5,MATCH($E286,$B$2:$B$5,0))*$F286/SUMIFS($F:$F,$E:$E,$E286,$B:$B,$B286,W:W,1)*IF(B286=$B$10,0.9,1),0)</f>
        <v>750</v>
      </c>
      <c r="Y286" s="24">
        <f t="shared" si="1193"/>
        <v>1</v>
      </c>
      <c r="Z286" s="24">
        <f>ROUND(INDEX($C$2:$C$5,MATCH($E286,$B$2:$B$5,0))*$G286/SUMIFS($G:$G,$E:$E,$E286,$B:$B,$B286,Y:Y,1)*IF(B286=$B$10,0.9,1),0)</f>
        <v>750</v>
      </c>
      <c r="AA286" s="24">
        <f t="shared" si="1193"/>
        <v>1</v>
      </c>
      <c r="AB286" s="24">
        <f>ROUND(INDEX($C$2:$C$5,MATCH($E286,$B$2:$B$5,0))*$H286/SUMIFS($H:$H,$E:$E,$E286,$B:$B,$B286,AA:AA,1)*IF(B286=$B$10,0.9,1),0)</f>
        <v>750</v>
      </c>
      <c r="AC286" s="24">
        <f t="shared" ref="AC286:AG286" si="1194">IF($L286&lt;=AC$8,1,0)</f>
        <v>1</v>
      </c>
      <c r="AD286" s="24">
        <f>ROUND(INDEX($C$2:$C$5,MATCH($E286,$B$2:$B$5,0))*$F286/SUMIFS($F:$F,$E:$E,$E286,$B:$B,$B286,AC:AC,1)*IF(B286=$B$10,0.9,1),0)</f>
        <v>750</v>
      </c>
      <c r="AE286" s="24">
        <f t="shared" si="1194"/>
        <v>1</v>
      </c>
      <c r="AF286" s="24">
        <f>ROUND(INDEX($C$2:$C$5,MATCH($E286,$B$2:$B$5,0))*$G286/SUMIFS($G:$G,$E:$E,$E286,$B:$B,$B286,AE:AE,1)*IF(B286=$B$10,0.9,1),0)</f>
        <v>750</v>
      </c>
      <c r="AG286" s="24">
        <f t="shared" si="1194"/>
        <v>1</v>
      </c>
      <c r="AH286" s="24">
        <f>ROUND(INDEX($C$2:$C$5,MATCH($E286,$B$2:$B$5,0))*$H286/SUMIFS($H:$H,$E:$E,$E286,$B:$B,$B286,AG:AG,1)*IF(B286=$B$10,0.9,1),0)</f>
        <v>750</v>
      </c>
      <c r="AI286" s="24">
        <f t="shared" ref="AI286:AM286" si="1195">IF($L286&lt;=AI$8,1,0)</f>
        <v>1</v>
      </c>
      <c r="AJ286" s="24">
        <f>ROUND(INDEX($C$2:$C$5,MATCH($E286,$B$2:$B$5,0))*$F286/SUMIFS($F:$F,$E:$E,$E286,$B:$B,$B286,AI:AI,1)*IF(B286=$B$10,0.9,1),0)</f>
        <v>750</v>
      </c>
      <c r="AK286" s="24">
        <f t="shared" si="1195"/>
        <v>1</v>
      </c>
      <c r="AL286" s="24">
        <f>ROUND(INDEX($C$2:$C$5,MATCH($E286,$B$2:$B$5,0))*$G286/SUMIFS($G:$G,$E:$E,$E286,$B:$B,$B286,AK:AK,1)*IF(B286=$B$10,0.9,1),0)</f>
        <v>750</v>
      </c>
      <c r="AM286" s="24">
        <f t="shared" si="1195"/>
        <v>1</v>
      </c>
      <c r="AN286" s="24">
        <f>ROUND(INDEX($C$2:$C$5,MATCH($E286,$B$2:$B$5,0))*$H286/SUMIFS($H:$H,$E:$E,$E286,$B:$B,$B286,AM:AM,1)*IF(B286=$B$10,0.9,1),0)</f>
        <v>750</v>
      </c>
      <c r="AX286" s="4" t="str">
        <f t="shared" si="1101"/>
        <v>1,750</v>
      </c>
      <c r="AY286" s="4" t="str">
        <f t="shared" si="1102"/>
        <v>1,900</v>
      </c>
      <c r="AZ286" s="4" t="str">
        <f t="shared" si="1103"/>
        <v>1,900</v>
      </c>
      <c r="BA286" s="4" t="str">
        <f t="shared" si="1104"/>
        <v>1,900</v>
      </c>
      <c r="BB286" s="4" t="str">
        <f t="shared" si="1105"/>
        <v>1,750</v>
      </c>
      <c r="BC286" s="4" t="str">
        <f t="shared" si="1106"/>
        <v>1,750</v>
      </c>
      <c r="BD286" s="4" t="str">
        <f t="shared" si="1107"/>
        <v>1,750</v>
      </c>
      <c r="BE286" s="4" t="str">
        <f t="shared" si="1108"/>
        <v>1,750</v>
      </c>
      <c r="BF286" s="4" t="str">
        <f t="shared" si="1109"/>
        <v>1,750</v>
      </c>
      <c r="BG286" s="4" t="str">
        <f t="shared" si="1110"/>
        <v>1,750</v>
      </c>
      <c r="BH286" s="4" t="str">
        <f t="shared" si="1111"/>
        <v>1,750</v>
      </c>
      <c r="BI286" s="4" t="str">
        <f t="shared" si="1112"/>
        <v>1,750</v>
      </c>
      <c r="BJ286" s="4" t="str">
        <f t="shared" si="1113"/>
        <v>1,750</v>
      </c>
    </row>
    <row r="287" customHeight="1" spans="1:62">
      <c r="A287" s="62">
        <f t="shared" si="1179"/>
        <v>1713</v>
      </c>
      <c r="B287" s="55" t="s">
        <v>126</v>
      </c>
      <c r="C287" s="64"/>
      <c r="D287" s="44" t="s">
        <v>364</v>
      </c>
      <c r="E287" s="66">
        <v>2</v>
      </c>
      <c r="F287" s="35">
        <v>1</v>
      </c>
      <c r="G287" s="35">
        <f t="shared" si="1114"/>
        <v>1</v>
      </c>
      <c r="H287" s="35">
        <v>1</v>
      </c>
      <c r="I287" s="35">
        <v>1</v>
      </c>
      <c r="J287" s="35">
        <v>1</v>
      </c>
      <c r="K287" s="35">
        <v>1</v>
      </c>
      <c r="L287" s="35">
        <v>1</v>
      </c>
      <c r="M287" s="35"/>
      <c r="N287">
        <f>INDEX($C$2:$C$5,MATCH(E287,$B$2:$B$5,0))</f>
        <v>4500</v>
      </c>
      <c r="O287" s="35">
        <v>1</v>
      </c>
      <c r="P287" s="24">
        <f>ROUND(INDEX($C$2:$C$5,MATCH($E287,$B$2:$B$5,0))*$F287/SUMIFS($F:$F,$E:$E,$E287,$B:$B,$B287,O:O,1)*IF(B287=$B$10,0.9,1),0)</f>
        <v>750</v>
      </c>
      <c r="Q287" s="24">
        <f t="shared" ref="Q287:U287" si="1196">IF($L287&lt;=Q$8,1,0)</f>
        <v>1</v>
      </c>
      <c r="R287" s="24">
        <f>ROUND(INDEX($C$2:$C$5,MATCH($E287,$B$2:$B$5,0))*$I287/SUMIFS($I:$I,$E:$E,$E287,$B:$B,$B287,Q:Q,1)*IF(B287=$B$10,0.9,1),0)</f>
        <v>900</v>
      </c>
      <c r="S287" s="24">
        <f t="shared" si="1196"/>
        <v>1</v>
      </c>
      <c r="T287" s="24">
        <f>ROUND(INDEX($C$2:$C$5,MATCH($E287,$B$2:$B$5,0))*$J287/SUMIFS($J:$J,$E:$E,$E287,$B:$B,$B287,S:S,1)*IF(B287=$B$10,0.9,1),0)</f>
        <v>900</v>
      </c>
      <c r="U287" s="24">
        <f t="shared" si="1196"/>
        <v>1</v>
      </c>
      <c r="V287" s="24">
        <f>ROUND(INDEX($C$2:$C$5,MATCH($E287,$B$2:$B$5,0))*$K287/SUMIFS($K:$K,$E:$E,$E287,$B:$B,$B287,U:U,1)*IF(B287=$B$10,0.9,1),0)</f>
        <v>900</v>
      </c>
      <c r="W287" s="24">
        <f t="shared" ref="W287:AA287" si="1197">IF($L287&lt;=W$8,1,0)</f>
        <v>1</v>
      </c>
      <c r="X287" s="24">
        <f>ROUND(INDEX($C$2:$C$5,MATCH($E287,$B$2:$B$5,0))*$F287/SUMIFS($F:$F,$E:$E,$E287,$B:$B,$B287,W:W,1)*IF(B287=$B$10,0.9,1),0)</f>
        <v>750</v>
      </c>
      <c r="Y287" s="24">
        <f t="shared" si="1197"/>
        <v>1</v>
      </c>
      <c r="Z287" s="24">
        <f>ROUND(INDEX($C$2:$C$5,MATCH($E287,$B$2:$B$5,0))*$G287/SUMIFS($G:$G,$E:$E,$E287,$B:$B,$B287,Y:Y,1)*IF(B287=$B$10,0.9,1),0)</f>
        <v>750</v>
      </c>
      <c r="AA287" s="24">
        <f t="shared" si="1197"/>
        <v>1</v>
      </c>
      <c r="AB287" s="24">
        <f>ROUND(INDEX($C$2:$C$5,MATCH($E287,$B$2:$B$5,0))*$H287/SUMIFS($H:$H,$E:$E,$E287,$B:$B,$B287,AA:AA,1)*IF(B287=$B$10,0.9,1),0)</f>
        <v>750</v>
      </c>
      <c r="AC287" s="24">
        <f t="shared" ref="AC287:AG287" si="1198">IF($L287&lt;=AC$8,1,0)</f>
        <v>1</v>
      </c>
      <c r="AD287" s="24">
        <f>ROUND(INDEX($C$2:$C$5,MATCH($E287,$B$2:$B$5,0))*$F287/SUMIFS($F:$F,$E:$E,$E287,$B:$B,$B287,AC:AC,1)*IF(B287=$B$10,0.9,1),0)</f>
        <v>750</v>
      </c>
      <c r="AE287" s="24">
        <f t="shared" si="1198"/>
        <v>1</v>
      </c>
      <c r="AF287" s="24">
        <f>ROUND(INDEX($C$2:$C$5,MATCH($E287,$B$2:$B$5,0))*$G287/SUMIFS($G:$G,$E:$E,$E287,$B:$B,$B287,AE:AE,1)*IF(B287=$B$10,0.9,1),0)</f>
        <v>750</v>
      </c>
      <c r="AG287" s="24">
        <f t="shared" si="1198"/>
        <v>1</v>
      </c>
      <c r="AH287" s="24">
        <f>ROUND(INDEX($C$2:$C$5,MATCH($E287,$B$2:$B$5,0))*$H287/SUMIFS($H:$H,$E:$E,$E287,$B:$B,$B287,AG:AG,1)*IF(B287=$B$10,0.9,1),0)</f>
        <v>750</v>
      </c>
      <c r="AI287" s="24">
        <f t="shared" ref="AI287:AM287" si="1199">IF($L287&lt;=AI$8,1,0)</f>
        <v>1</v>
      </c>
      <c r="AJ287" s="24">
        <f>ROUND(INDEX($C$2:$C$5,MATCH($E287,$B$2:$B$5,0))*$F287/SUMIFS($F:$F,$E:$E,$E287,$B:$B,$B287,AI:AI,1)*IF(B287=$B$10,0.9,1),0)</f>
        <v>750</v>
      </c>
      <c r="AK287" s="24">
        <f t="shared" si="1199"/>
        <v>1</v>
      </c>
      <c r="AL287" s="24">
        <f>ROUND(INDEX($C$2:$C$5,MATCH($E287,$B$2:$B$5,0))*$G287/SUMIFS($G:$G,$E:$E,$E287,$B:$B,$B287,AK:AK,1)*IF(B287=$B$10,0.9,1),0)</f>
        <v>750</v>
      </c>
      <c r="AM287" s="24">
        <f t="shared" si="1199"/>
        <v>1</v>
      </c>
      <c r="AN287" s="24">
        <f>ROUND(INDEX($C$2:$C$5,MATCH($E287,$B$2:$B$5,0))*$H287/SUMIFS($H:$H,$E:$E,$E287,$B:$B,$B287,AM:AM,1)*IF(B287=$B$10,0.9,1),0)</f>
        <v>750</v>
      </c>
      <c r="AX287" s="4" t="str">
        <f t="shared" si="1101"/>
        <v>1,750</v>
      </c>
      <c r="AY287" s="4" t="str">
        <f t="shared" si="1102"/>
        <v>1,900</v>
      </c>
      <c r="AZ287" s="4" t="str">
        <f t="shared" si="1103"/>
        <v>1,900</v>
      </c>
      <c r="BA287" s="4" t="str">
        <f t="shared" si="1104"/>
        <v>1,900</v>
      </c>
      <c r="BB287" s="4" t="str">
        <f t="shared" si="1105"/>
        <v>1,750</v>
      </c>
      <c r="BC287" s="4" t="str">
        <f t="shared" si="1106"/>
        <v>1,750</v>
      </c>
      <c r="BD287" s="4" t="str">
        <f t="shared" si="1107"/>
        <v>1,750</v>
      </c>
      <c r="BE287" s="4" t="str">
        <f t="shared" si="1108"/>
        <v>1,750</v>
      </c>
      <c r="BF287" s="4" t="str">
        <f t="shared" si="1109"/>
        <v>1,750</v>
      </c>
      <c r="BG287" s="4" t="str">
        <f t="shared" si="1110"/>
        <v>1,750</v>
      </c>
      <c r="BH287" s="4" t="str">
        <f t="shared" si="1111"/>
        <v>1,750</v>
      </c>
      <c r="BI287" s="4" t="str">
        <f t="shared" si="1112"/>
        <v>1,750</v>
      </c>
      <c r="BJ287" s="4" t="str">
        <f t="shared" si="1113"/>
        <v>1,750</v>
      </c>
    </row>
    <row r="288" customHeight="1" spans="1:62">
      <c r="A288" s="62">
        <f t="shared" si="1179"/>
        <v>1714</v>
      </c>
      <c r="B288" s="55" t="s">
        <v>126</v>
      </c>
      <c r="C288" s="64"/>
      <c r="D288" s="44" t="s">
        <v>365</v>
      </c>
      <c r="E288" s="66">
        <v>2</v>
      </c>
      <c r="F288" s="35">
        <v>1</v>
      </c>
      <c r="G288" s="35">
        <f t="shared" si="1114"/>
        <v>1</v>
      </c>
      <c r="H288" s="35">
        <v>1</v>
      </c>
      <c r="I288" s="35">
        <v>1</v>
      </c>
      <c r="J288" s="35">
        <v>1</v>
      </c>
      <c r="K288" s="35">
        <v>1</v>
      </c>
      <c r="L288" s="35">
        <v>1</v>
      </c>
      <c r="M288" s="35" t="s">
        <v>136</v>
      </c>
      <c r="N288">
        <f>INDEX($C$2:$C$5,MATCH(E288,$B$2:$B$5,0))</f>
        <v>4500</v>
      </c>
      <c r="O288" s="35">
        <v>1</v>
      </c>
      <c r="P288" s="24">
        <f>ROUND(INDEX($C$2:$C$5,MATCH($E288,$B$2:$B$5,0))*$F288/SUMIFS($F:$F,$E:$E,$E288,$B:$B,$B288,O:O,1)*IF(B288=$B$10,0.9,1),0)</f>
        <v>750</v>
      </c>
      <c r="Q288" s="24">
        <f t="shared" ref="Q288:U288" si="1200">IF($L288&lt;=Q$8,1,0)</f>
        <v>1</v>
      </c>
      <c r="R288" s="24">
        <f>ROUND(INDEX($C$2:$C$5,MATCH($E288,$B$2:$B$5,0))*$I288/SUMIFS($I:$I,$E:$E,$E288,$B:$B,$B288,Q:Q,1)*IF(B288=$B$10,0.9,1),0)</f>
        <v>900</v>
      </c>
      <c r="S288" s="24">
        <f t="shared" si="1200"/>
        <v>1</v>
      </c>
      <c r="T288" s="24">
        <f>ROUND(INDEX($C$2:$C$5,MATCH($E288,$B$2:$B$5,0))*$J288/SUMIFS($J:$J,$E:$E,$E288,$B:$B,$B288,S:S,1)*IF(B288=$B$10,0.9,1),0)</f>
        <v>900</v>
      </c>
      <c r="U288" s="24">
        <f t="shared" si="1200"/>
        <v>1</v>
      </c>
      <c r="V288" s="24">
        <f>ROUND(INDEX($C$2:$C$5,MATCH($E288,$B$2:$B$5,0))*$K288/SUMIFS($K:$K,$E:$E,$E288,$B:$B,$B288,U:U,1)*IF(B288=$B$10,0.9,1),0)</f>
        <v>900</v>
      </c>
      <c r="W288" s="24">
        <f t="shared" ref="W288:AA288" si="1201">IF($L288&lt;=W$8,1,0)</f>
        <v>1</v>
      </c>
      <c r="X288" s="24">
        <f>ROUND(INDEX($C$2:$C$5,MATCH($E288,$B$2:$B$5,0))*$F288/SUMIFS($F:$F,$E:$E,$E288,$B:$B,$B288,W:W,1)*IF(B288=$B$10,0.9,1),0)</f>
        <v>750</v>
      </c>
      <c r="Y288" s="24">
        <f t="shared" si="1201"/>
        <v>1</v>
      </c>
      <c r="Z288" s="24">
        <f>ROUND(INDEX($C$2:$C$5,MATCH($E288,$B$2:$B$5,0))*$G288/SUMIFS($G:$G,$E:$E,$E288,$B:$B,$B288,Y:Y,1)*IF(B288=$B$10,0.9,1),0)</f>
        <v>750</v>
      </c>
      <c r="AA288" s="24">
        <f t="shared" si="1201"/>
        <v>1</v>
      </c>
      <c r="AB288" s="24">
        <f>ROUND(INDEX($C$2:$C$5,MATCH($E288,$B$2:$B$5,0))*$H288/SUMIFS($H:$H,$E:$E,$E288,$B:$B,$B288,AA:AA,1)*IF(B288=$B$10,0.9,1),0)</f>
        <v>750</v>
      </c>
      <c r="AC288" s="24">
        <f t="shared" ref="AC288:AG288" si="1202">IF($L288&lt;=AC$8,1,0)</f>
        <v>1</v>
      </c>
      <c r="AD288" s="24">
        <f>ROUND(INDEX($C$2:$C$5,MATCH($E288,$B$2:$B$5,0))*$F288/SUMIFS($F:$F,$E:$E,$E288,$B:$B,$B288,AC:AC,1)*IF(B288=$B$10,0.9,1),0)</f>
        <v>750</v>
      </c>
      <c r="AE288" s="24">
        <f t="shared" si="1202"/>
        <v>1</v>
      </c>
      <c r="AF288" s="24">
        <f>ROUND(INDEX($C$2:$C$5,MATCH($E288,$B$2:$B$5,0))*$G288/SUMIFS($G:$G,$E:$E,$E288,$B:$B,$B288,AE:AE,1)*IF(B288=$B$10,0.9,1),0)</f>
        <v>750</v>
      </c>
      <c r="AG288" s="24">
        <f t="shared" si="1202"/>
        <v>1</v>
      </c>
      <c r="AH288" s="24">
        <f>ROUND(INDEX($C$2:$C$5,MATCH($E288,$B$2:$B$5,0))*$H288/SUMIFS($H:$H,$E:$E,$E288,$B:$B,$B288,AG:AG,1)*IF(B288=$B$10,0.9,1),0)</f>
        <v>750</v>
      </c>
      <c r="AI288" s="24">
        <f t="shared" ref="AI288:AM288" si="1203">IF($L288&lt;=AI$8,1,0)</f>
        <v>1</v>
      </c>
      <c r="AJ288" s="24">
        <f>ROUND(INDEX($C$2:$C$5,MATCH($E288,$B$2:$B$5,0))*$F288/SUMIFS($F:$F,$E:$E,$E288,$B:$B,$B288,AI:AI,1)*IF(B288=$B$10,0.9,1),0)</f>
        <v>750</v>
      </c>
      <c r="AK288" s="24">
        <f t="shared" si="1203"/>
        <v>1</v>
      </c>
      <c r="AL288" s="24">
        <f>ROUND(INDEX($C$2:$C$5,MATCH($E288,$B$2:$B$5,0))*$G288/SUMIFS($G:$G,$E:$E,$E288,$B:$B,$B288,AK:AK,1)*IF(B288=$B$10,0.9,1),0)</f>
        <v>750</v>
      </c>
      <c r="AM288" s="24">
        <f t="shared" si="1203"/>
        <v>1</v>
      </c>
      <c r="AN288" s="24">
        <f>ROUND(INDEX($C$2:$C$5,MATCH($E288,$B$2:$B$5,0))*$H288/SUMIFS($H:$H,$E:$E,$E288,$B:$B,$B288,AM:AM,1)*IF(B288=$B$10,0.9,1),0)</f>
        <v>750</v>
      </c>
      <c r="AX288" s="4" t="str">
        <f t="shared" si="1101"/>
        <v>1,750</v>
      </c>
      <c r="AY288" s="4" t="str">
        <f t="shared" si="1102"/>
        <v>1,900</v>
      </c>
      <c r="AZ288" s="4" t="str">
        <f t="shared" si="1103"/>
        <v>1,900</v>
      </c>
      <c r="BA288" s="4" t="str">
        <f t="shared" si="1104"/>
        <v>1,900</v>
      </c>
      <c r="BB288" s="4" t="str">
        <f t="shared" si="1105"/>
        <v>1,750</v>
      </c>
      <c r="BC288" s="4" t="str">
        <f t="shared" si="1106"/>
        <v>1,750</v>
      </c>
      <c r="BD288" s="4" t="str">
        <f t="shared" si="1107"/>
        <v>1,750</v>
      </c>
      <c r="BE288" s="4" t="str">
        <f t="shared" si="1108"/>
        <v>1,750</v>
      </c>
      <c r="BF288" s="4" t="str">
        <f t="shared" si="1109"/>
        <v>1,750</v>
      </c>
      <c r="BG288" s="4" t="str">
        <f t="shared" si="1110"/>
        <v>1,750</v>
      </c>
      <c r="BH288" s="4" t="str">
        <f t="shared" si="1111"/>
        <v>1,750</v>
      </c>
      <c r="BI288" s="4" t="str">
        <f t="shared" si="1112"/>
        <v>1,750</v>
      </c>
      <c r="BJ288" s="4" t="str">
        <f t="shared" si="1113"/>
        <v>1,750</v>
      </c>
    </row>
    <row r="289" customHeight="1" spans="1:62">
      <c r="A289" s="62">
        <f t="shared" si="1179"/>
        <v>1721</v>
      </c>
      <c r="B289" s="55" t="s">
        <v>126</v>
      </c>
      <c r="C289" s="64" t="s">
        <v>218</v>
      </c>
      <c r="D289" s="46" t="s">
        <v>366</v>
      </c>
      <c r="E289" s="66">
        <v>3</v>
      </c>
      <c r="F289" s="35">
        <v>1</v>
      </c>
      <c r="G289" s="35">
        <f t="shared" si="1114"/>
        <v>1</v>
      </c>
      <c r="H289" s="35">
        <v>1</v>
      </c>
      <c r="I289" s="35">
        <v>1</v>
      </c>
      <c r="J289" s="35">
        <v>1</v>
      </c>
      <c r="K289" s="35">
        <v>1</v>
      </c>
      <c r="L289" s="35">
        <v>1</v>
      </c>
      <c r="M289" s="35" t="s">
        <v>136</v>
      </c>
      <c r="N289">
        <f>INDEX($C$2:$C$5,MATCH(E289,$B$2:$B$5,0))</f>
        <v>1500</v>
      </c>
      <c r="O289" s="35">
        <v>1</v>
      </c>
      <c r="P289" s="24">
        <f>ROUND(INDEX($C$2:$C$5,MATCH($E289,$B$2:$B$5,0))*$F289/SUMIFS($F:$F,$E:$E,$E289,$B:$B,$B289,O:O,1)*IF(B289=$B$10,0.9,1),0)</f>
        <v>250</v>
      </c>
      <c r="Q289" s="24">
        <f t="shared" ref="Q289:U289" si="1204">IF($L289&lt;=Q$8,1,0)</f>
        <v>1</v>
      </c>
      <c r="R289" s="24">
        <f>ROUND(INDEX($C$2:$C$5,MATCH($E289,$B$2:$B$5,0))*$I289/SUMIFS($I:$I,$E:$E,$E289,$B:$B,$B289,Q:Q,1)*IF(B289=$B$10,0.9,1),0)</f>
        <v>300</v>
      </c>
      <c r="S289" s="24">
        <f t="shared" si="1204"/>
        <v>1</v>
      </c>
      <c r="T289" s="24">
        <f>ROUND(INDEX($C$2:$C$5,MATCH($E289,$B$2:$B$5,0))*$J289/SUMIFS($J:$J,$E:$E,$E289,$B:$B,$B289,S:S,1)*IF(B289=$B$10,0.9,1),0)</f>
        <v>300</v>
      </c>
      <c r="U289" s="24">
        <f t="shared" si="1204"/>
        <v>1</v>
      </c>
      <c r="V289" s="24">
        <f>ROUND(INDEX($C$2:$C$5,MATCH($E289,$B$2:$B$5,0))*$K289/SUMIFS($K:$K,$E:$E,$E289,$B:$B,$B289,U:U,1)*IF(B289=$B$10,0.9,1),0)</f>
        <v>300</v>
      </c>
      <c r="W289" s="24">
        <f t="shared" ref="W289:AA289" si="1205">IF($L289&lt;=W$8,1,0)</f>
        <v>1</v>
      </c>
      <c r="X289" s="24">
        <f>ROUND(INDEX($C$2:$C$5,MATCH($E289,$B$2:$B$5,0))*$F289/SUMIFS($F:$F,$E:$E,$E289,$B:$B,$B289,W:W,1)*IF(B289=$B$10,0.9,1),0)</f>
        <v>250</v>
      </c>
      <c r="Y289" s="24">
        <f t="shared" si="1205"/>
        <v>1</v>
      </c>
      <c r="Z289" s="24">
        <f>ROUND(INDEX($C$2:$C$5,MATCH($E289,$B$2:$B$5,0))*$G289/SUMIFS($G:$G,$E:$E,$E289,$B:$B,$B289,Y:Y,1)*IF(B289=$B$10,0.9,1),0)</f>
        <v>250</v>
      </c>
      <c r="AA289" s="24">
        <f t="shared" si="1205"/>
        <v>1</v>
      </c>
      <c r="AB289" s="24">
        <f>ROUND(INDEX($C$2:$C$5,MATCH($E289,$B$2:$B$5,0))*$H289/SUMIFS($H:$H,$E:$E,$E289,$B:$B,$B289,AA:AA,1)*IF(B289=$B$10,0.9,1),0)</f>
        <v>250</v>
      </c>
      <c r="AC289" s="24">
        <f t="shared" ref="AC289:AG289" si="1206">IF($L289&lt;=AC$8,1,0)</f>
        <v>1</v>
      </c>
      <c r="AD289" s="24">
        <f>ROUND(INDEX($C$2:$C$5,MATCH($E289,$B$2:$B$5,0))*$F289/SUMIFS($F:$F,$E:$E,$E289,$B:$B,$B289,AC:AC,1)*IF(B289=$B$10,0.9,1),0)</f>
        <v>250</v>
      </c>
      <c r="AE289" s="24">
        <f t="shared" si="1206"/>
        <v>1</v>
      </c>
      <c r="AF289" s="24">
        <f>ROUND(INDEX($C$2:$C$5,MATCH($E289,$B$2:$B$5,0))*$G289/SUMIFS($G:$G,$E:$E,$E289,$B:$B,$B289,AE:AE,1)*IF(B289=$B$10,0.9,1),0)</f>
        <v>250</v>
      </c>
      <c r="AG289" s="24">
        <f t="shared" si="1206"/>
        <v>1</v>
      </c>
      <c r="AH289" s="24">
        <f>ROUND(INDEX($C$2:$C$5,MATCH($E289,$B$2:$B$5,0))*$H289/SUMIFS($H:$H,$E:$E,$E289,$B:$B,$B289,AG:AG,1)*IF(B289=$B$10,0.9,1),0)</f>
        <v>250</v>
      </c>
      <c r="AI289" s="24">
        <f t="shared" ref="AI289:AM289" si="1207">IF($L289&lt;=AI$8,1,0)</f>
        <v>1</v>
      </c>
      <c r="AJ289" s="24">
        <f>ROUND(INDEX($C$2:$C$5,MATCH($E289,$B$2:$B$5,0))*$F289/SUMIFS($F:$F,$E:$E,$E289,$B:$B,$B289,AI:AI,1)*IF(B289=$B$10,0.9,1),0)</f>
        <v>250</v>
      </c>
      <c r="AK289" s="24">
        <f t="shared" si="1207"/>
        <v>1</v>
      </c>
      <c r="AL289" s="24">
        <f>ROUND(INDEX($C$2:$C$5,MATCH($E289,$B$2:$B$5,0))*$G289/SUMIFS($G:$G,$E:$E,$E289,$B:$B,$B289,AK:AK,1)*IF(B289=$B$10,0.9,1),0)</f>
        <v>250</v>
      </c>
      <c r="AM289" s="24">
        <f t="shared" si="1207"/>
        <v>1</v>
      </c>
      <c r="AN289" s="24">
        <f>ROUND(INDEX($C$2:$C$5,MATCH($E289,$B$2:$B$5,0))*$H289/SUMIFS($H:$H,$E:$E,$E289,$B:$B,$B289,AM:AM,1)*IF(B289=$B$10,0.9,1),0)</f>
        <v>250</v>
      </c>
      <c r="AX289" s="4" t="str">
        <f t="shared" si="1101"/>
        <v>1,250</v>
      </c>
      <c r="AY289" s="4" t="str">
        <f t="shared" si="1102"/>
        <v>1,300</v>
      </c>
      <c r="AZ289" s="4" t="str">
        <f t="shared" si="1103"/>
        <v>1,300</v>
      </c>
      <c r="BA289" s="4" t="str">
        <f t="shared" si="1104"/>
        <v>1,300</v>
      </c>
      <c r="BB289" s="4" t="str">
        <f t="shared" si="1105"/>
        <v>1,250</v>
      </c>
      <c r="BC289" s="4" t="str">
        <f t="shared" si="1106"/>
        <v>1,250</v>
      </c>
      <c r="BD289" s="4" t="str">
        <f t="shared" si="1107"/>
        <v>1,250</v>
      </c>
      <c r="BE289" s="4" t="str">
        <f t="shared" si="1108"/>
        <v>1,250</v>
      </c>
      <c r="BF289" s="4" t="str">
        <f t="shared" si="1109"/>
        <v>1,250</v>
      </c>
      <c r="BG289" s="4" t="str">
        <f t="shared" si="1110"/>
        <v>1,250</v>
      </c>
      <c r="BH289" s="4" t="str">
        <f t="shared" si="1111"/>
        <v>1,250</v>
      </c>
      <c r="BI289" s="4" t="str">
        <f t="shared" si="1112"/>
        <v>1,250</v>
      </c>
      <c r="BJ289" s="4" t="str">
        <f t="shared" si="1113"/>
        <v>1,250</v>
      </c>
    </row>
    <row r="290" customHeight="1" spans="1:62">
      <c r="A290" s="62">
        <f t="shared" si="1179"/>
        <v>1722</v>
      </c>
      <c r="B290" s="55" t="s">
        <v>126</v>
      </c>
      <c r="C290" s="64" t="s">
        <v>218</v>
      </c>
      <c r="D290" s="46" t="s">
        <v>367</v>
      </c>
      <c r="E290" s="66">
        <v>3</v>
      </c>
      <c r="F290" s="35">
        <v>1</v>
      </c>
      <c r="G290" s="35">
        <f t="shared" si="1114"/>
        <v>1</v>
      </c>
      <c r="H290" s="35">
        <v>1</v>
      </c>
      <c r="I290" s="35">
        <v>1</v>
      </c>
      <c r="J290" s="35">
        <v>1</v>
      </c>
      <c r="K290" s="35">
        <v>1</v>
      </c>
      <c r="L290" s="35">
        <v>1</v>
      </c>
      <c r="M290" s="35"/>
      <c r="N290">
        <f>INDEX($C$2:$C$5,MATCH(E290,$B$2:$B$5,0))</f>
        <v>1500</v>
      </c>
      <c r="O290" s="35">
        <v>1</v>
      </c>
      <c r="P290" s="24">
        <f>ROUND(INDEX($C$2:$C$5,MATCH($E290,$B$2:$B$5,0))*$F290/SUMIFS($F:$F,$E:$E,$E290,$B:$B,$B290,O:O,1)*IF(B290=$B$10,0.9,1),0)</f>
        <v>250</v>
      </c>
      <c r="Q290" s="24">
        <f t="shared" ref="Q290:U290" si="1208">IF($L290&lt;=Q$8,1,0)</f>
        <v>1</v>
      </c>
      <c r="R290" s="24">
        <f>ROUND(INDEX($C$2:$C$5,MATCH($E290,$B$2:$B$5,0))*$I290/SUMIFS($I:$I,$E:$E,$E290,$B:$B,$B290,Q:Q,1)*IF(B290=$B$10,0.9,1),0)</f>
        <v>300</v>
      </c>
      <c r="S290" s="24">
        <f t="shared" si="1208"/>
        <v>1</v>
      </c>
      <c r="T290" s="24">
        <f>ROUND(INDEX($C$2:$C$5,MATCH($E290,$B$2:$B$5,0))*$J290/SUMIFS($J:$J,$E:$E,$E290,$B:$B,$B290,S:S,1)*IF(B290=$B$10,0.9,1),0)</f>
        <v>300</v>
      </c>
      <c r="U290" s="24">
        <f t="shared" si="1208"/>
        <v>1</v>
      </c>
      <c r="V290" s="24">
        <f>ROUND(INDEX($C$2:$C$5,MATCH($E290,$B$2:$B$5,0))*$K290/SUMIFS($K:$K,$E:$E,$E290,$B:$B,$B290,U:U,1)*IF(B290=$B$10,0.9,1),0)</f>
        <v>300</v>
      </c>
      <c r="W290" s="24">
        <f t="shared" ref="W290:AA290" si="1209">IF($L290&lt;=W$8,1,0)</f>
        <v>1</v>
      </c>
      <c r="X290" s="24">
        <f>ROUND(INDEX($C$2:$C$5,MATCH($E290,$B$2:$B$5,0))*$F290/SUMIFS($F:$F,$E:$E,$E290,$B:$B,$B290,W:W,1)*IF(B290=$B$10,0.9,1),0)</f>
        <v>250</v>
      </c>
      <c r="Y290" s="24">
        <f t="shared" si="1209"/>
        <v>1</v>
      </c>
      <c r="Z290" s="24">
        <f>ROUND(INDEX($C$2:$C$5,MATCH($E290,$B$2:$B$5,0))*$G290/SUMIFS($G:$G,$E:$E,$E290,$B:$B,$B290,Y:Y,1)*IF(B290=$B$10,0.9,1),0)</f>
        <v>250</v>
      </c>
      <c r="AA290" s="24">
        <f t="shared" si="1209"/>
        <v>1</v>
      </c>
      <c r="AB290" s="24">
        <f>ROUND(INDEX($C$2:$C$5,MATCH($E290,$B$2:$B$5,0))*$H290/SUMIFS($H:$H,$E:$E,$E290,$B:$B,$B290,AA:AA,1)*IF(B290=$B$10,0.9,1),0)</f>
        <v>250</v>
      </c>
      <c r="AC290" s="24">
        <f t="shared" ref="AC290:AG290" si="1210">IF($L290&lt;=AC$8,1,0)</f>
        <v>1</v>
      </c>
      <c r="AD290" s="24">
        <f>ROUND(INDEX($C$2:$C$5,MATCH($E290,$B$2:$B$5,0))*$F290/SUMIFS($F:$F,$E:$E,$E290,$B:$B,$B290,AC:AC,1)*IF(B290=$B$10,0.9,1),0)</f>
        <v>250</v>
      </c>
      <c r="AE290" s="24">
        <f t="shared" si="1210"/>
        <v>1</v>
      </c>
      <c r="AF290" s="24">
        <f>ROUND(INDEX($C$2:$C$5,MATCH($E290,$B$2:$B$5,0))*$G290/SUMIFS($G:$G,$E:$E,$E290,$B:$B,$B290,AE:AE,1)*IF(B290=$B$10,0.9,1),0)</f>
        <v>250</v>
      </c>
      <c r="AG290" s="24">
        <f t="shared" si="1210"/>
        <v>1</v>
      </c>
      <c r="AH290" s="24">
        <f>ROUND(INDEX($C$2:$C$5,MATCH($E290,$B$2:$B$5,0))*$H290/SUMIFS($H:$H,$E:$E,$E290,$B:$B,$B290,AG:AG,1)*IF(B290=$B$10,0.9,1),0)</f>
        <v>250</v>
      </c>
      <c r="AI290" s="24">
        <f t="shared" ref="AI290:AM290" si="1211">IF($L290&lt;=AI$8,1,0)</f>
        <v>1</v>
      </c>
      <c r="AJ290" s="24">
        <f>ROUND(INDEX($C$2:$C$5,MATCH($E290,$B$2:$B$5,0))*$F290/SUMIFS($F:$F,$E:$E,$E290,$B:$B,$B290,AI:AI,1)*IF(B290=$B$10,0.9,1),0)</f>
        <v>250</v>
      </c>
      <c r="AK290" s="24">
        <f t="shared" si="1211"/>
        <v>1</v>
      </c>
      <c r="AL290" s="24">
        <f>ROUND(INDEX($C$2:$C$5,MATCH($E290,$B$2:$B$5,0))*$G290/SUMIFS($G:$G,$E:$E,$E290,$B:$B,$B290,AK:AK,1)*IF(B290=$B$10,0.9,1),0)</f>
        <v>250</v>
      </c>
      <c r="AM290" s="24">
        <f t="shared" si="1211"/>
        <v>1</v>
      </c>
      <c r="AN290" s="24">
        <f>ROUND(INDEX($C$2:$C$5,MATCH($E290,$B$2:$B$5,0))*$H290/SUMIFS($H:$H,$E:$E,$E290,$B:$B,$B290,AM:AM,1)*IF(B290=$B$10,0.9,1),0)</f>
        <v>250</v>
      </c>
      <c r="AX290" s="4" t="str">
        <f t="shared" si="1101"/>
        <v>1,250</v>
      </c>
      <c r="AY290" s="4" t="str">
        <f t="shared" si="1102"/>
        <v>1,300</v>
      </c>
      <c r="AZ290" s="4" t="str">
        <f t="shared" si="1103"/>
        <v>1,300</v>
      </c>
      <c r="BA290" s="4" t="str">
        <f t="shared" si="1104"/>
        <v>1,300</v>
      </c>
      <c r="BB290" s="4" t="str">
        <f t="shared" si="1105"/>
        <v>1,250</v>
      </c>
      <c r="BC290" s="4" t="str">
        <f t="shared" si="1106"/>
        <v>1,250</v>
      </c>
      <c r="BD290" s="4" t="str">
        <f t="shared" si="1107"/>
        <v>1,250</v>
      </c>
      <c r="BE290" s="4" t="str">
        <f t="shared" si="1108"/>
        <v>1,250</v>
      </c>
      <c r="BF290" s="4" t="str">
        <f t="shared" si="1109"/>
        <v>1,250</v>
      </c>
      <c r="BG290" s="4" t="str">
        <f t="shared" si="1110"/>
        <v>1,250</v>
      </c>
      <c r="BH290" s="4" t="str">
        <f t="shared" si="1111"/>
        <v>1,250</v>
      </c>
      <c r="BI290" s="4" t="str">
        <f t="shared" si="1112"/>
        <v>1,250</v>
      </c>
      <c r="BJ290" s="4" t="str">
        <f t="shared" si="1113"/>
        <v>1,250</v>
      </c>
    </row>
    <row r="291" customHeight="1" spans="1:62">
      <c r="A291" s="62">
        <f t="shared" si="1179"/>
        <v>1723</v>
      </c>
      <c r="B291" s="55" t="s">
        <v>126</v>
      </c>
      <c r="C291" s="64" t="s">
        <v>218</v>
      </c>
      <c r="D291" s="46" t="s">
        <v>368</v>
      </c>
      <c r="E291" s="66">
        <v>3</v>
      </c>
      <c r="F291" s="35">
        <v>1</v>
      </c>
      <c r="G291" s="35">
        <f t="shared" si="1114"/>
        <v>1</v>
      </c>
      <c r="H291" s="35">
        <v>1</v>
      </c>
      <c r="I291" s="35">
        <v>1</v>
      </c>
      <c r="J291" s="35">
        <v>1</v>
      </c>
      <c r="K291" s="35">
        <v>1</v>
      </c>
      <c r="L291" s="35">
        <v>1</v>
      </c>
      <c r="M291" s="35"/>
      <c r="N291">
        <f>INDEX($C$2:$C$5,MATCH(E291,$B$2:$B$5,0))</f>
        <v>1500</v>
      </c>
      <c r="O291" s="35">
        <v>1</v>
      </c>
      <c r="P291" s="24">
        <f>ROUND(INDEX($C$2:$C$5,MATCH($E291,$B$2:$B$5,0))*$F291/SUMIFS($F:$F,$E:$E,$E291,$B:$B,$B291,O:O,1)*IF(B291=$B$10,0.9,1),0)</f>
        <v>250</v>
      </c>
      <c r="Q291" s="24">
        <f t="shared" ref="Q291:U291" si="1212">IF($L291&lt;=Q$8,1,0)</f>
        <v>1</v>
      </c>
      <c r="R291" s="24">
        <f>ROUND(INDEX($C$2:$C$5,MATCH($E291,$B$2:$B$5,0))*$I291/SUMIFS($I:$I,$E:$E,$E291,$B:$B,$B291,Q:Q,1)*IF(B291=$B$10,0.9,1),0)</f>
        <v>300</v>
      </c>
      <c r="S291" s="24">
        <f t="shared" si="1212"/>
        <v>1</v>
      </c>
      <c r="T291" s="24">
        <f>ROUND(INDEX($C$2:$C$5,MATCH($E291,$B$2:$B$5,0))*$J291/SUMIFS($J:$J,$E:$E,$E291,$B:$B,$B291,S:S,1)*IF(B291=$B$10,0.9,1),0)</f>
        <v>300</v>
      </c>
      <c r="U291" s="24">
        <f t="shared" si="1212"/>
        <v>1</v>
      </c>
      <c r="V291" s="24">
        <f>ROUND(INDEX($C$2:$C$5,MATCH($E291,$B$2:$B$5,0))*$K291/SUMIFS($K:$K,$E:$E,$E291,$B:$B,$B291,U:U,1)*IF(B291=$B$10,0.9,1),0)</f>
        <v>300</v>
      </c>
      <c r="W291" s="24">
        <f t="shared" ref="W291:AA291" si="1213">IF($L291&lt;=W$8,1,0)</f>
        <v>1</v>
      </c>
      <c r="X291" s="24">
        <f>ROUND(INDEX($C$2:$C$5,MATCH($E291,$B$2:$B$5,0))*$F291/SUMIFS($F:$F,$E:$E,$E291,$B:$B,$B291,W:W,1)*IF(B291=$B$10,0.9,1),0)</f>
        <v>250</v>
      </c>
      <c r="Y291" s="24">
        <f t="shared" si="1213"/>
        <v>1</v>
      </c>
      <c r="Z291" s="24">
        <f>ROUND(INDEX($C$2:$C$5,MATCH($E291,$B$2:$B$5,0))*$G291/SUMIFS($G:$G,$E:$E,$E291,$B:$B,$B291,Y:Y,1)*IF(B291=$B$10,0.9,1),0)</f>
        <v>250</v>
      </c>
      <c r="AA291" s="24">
        <f t="shared" si="1213"/>
        <v>1</v>
      </c>
      <c r="AB291" s="24">
        <f>ROUND(INDEX($C$2:$C$5,MATCH($E291,$B$2:$B$5,0))*$H291/SUMIFS($H:$H,$E:$E,$E291,$B:$B,$B291,AA:AA,1)*IF(B291=$B$10,0.9,1),0)</f>
        <v>250</v>
      </c>
      <c r="AC291" s="24">
        <f t="shared" ref="AC291:AG291" si="1214">IF($L291&lt;=AC$8,1,0)</f>
        <v>1</v>
      </c>
      <c r="AD291" s="24">
        <f>ROUND(INDEX($C$2:$C$5,MATCH($E291,$B$2:$B$5,0))*$F291/SUMIFS($F:$F,$E:$E,$E291,$B:$B,$B291,AC:AC,1)*IF(B291=$B$10,0.9,1),0)</f>
        <v>250</v>
      </c>
      <c r="AE291" s="24">
        <f t="shared" si="1214"/>
        <v>1</v>
      </c>
      <c r="AF291" s="24">
        <f>ROUND(INDEX($C$2:$C$5,MATCH($E291,$B$2:$B$5,0))*$G291/SUMIFS($G:$G,$E:$E,$E291,$B:$B,$B291,AE:AE,1)*IF(B291=$B$10,0.9,1),0)</f>
        <v>250</v>
      </c>
      <c r="AG291" s="24">
        <f t="shared" si="1214"/>
        <v>1</v>
      </c>
      <c r="AH291" s="24">
        <f>ROUND(INDEX($C$2:$C$5,MATCH($E291,$B$2:$B$5,0))*$H291/SUMIFS($H:$H,$E:$E,$E291,$B:$B,$B291,AG:AG,1)*IF(B291=$B$10,0.9,1),0)</f>
        <v>250</v>
      </c>
      <c r="AI291" s="24">
        <f t="shared" ref="AI291:AM291" si="1215">IF($L291&lt;=AI$8,1,0)</f>
        <v>1</v>
      </c>
      <c r="AJ291" s="24">
        <f>ROUND(INDEX($C$2:$C$5,MATCH($E291,$B$2:$B$5,0))*$F291/SUMIFS($F:$F,$E:$E,$E291,$B:$B,$B291,AI:AI,1)*IF(B291=$B$10,0.9,1),0)</f>
        <v>250</v>
      </c>
      <c r="AK291" s="24">
        <f t="shared" si="1215"/>
        <v>1</v>
      </c>
      <c r="AL291" s="24">
        <f>ROUND(INDEX($C$2:$C$5,MATCH($E291,$B$2:$B$5,0))*$G291/SUMIFS($G:$G,$E:$E,$E291,$B:$B,$B291,AK:AK,1)*IF(B291=$B$10,0.9,1),0)</f>
        <v>250</v>
      </c>
      <c r="AM291" s="24">
        <f t="shared" si="1215"/>
        <v>1</v>
      </c>
      <c r="AN291" s="24">
        <f>ROUND(INDEX($C$2:$C$5,MATCH($E291,$B$2:$B$5,0))*$H291/SUMIFS($H:$H,$E:$E,$E291,$B:$B,$B291,AM:AM,1)*IF(B291=$B$10,0.9,1),0)</f>
        <v>250</v>
      </c>
      <c r="AX291" s="4" t="str">
        <f t="shared" si="1101"/>
        <v>1,250</v>
      </c>
      <c r="AY291" s="4" t="str">
        <f t="shared" si="1102"/>
        <v>1,300</v>
      </c>
      <c r="AZ291" s="4" t="str">
        <f t="shared" si="1103"/>
        <v>1,300</v>
      </c>
      <c r="BA291" s="4" t="str">
        <f t="shared" si="1104"/>
        <v>1,300</v>
      </c>
      <c r="BB291" s="4" t="str">
        <f t="shared" si="1105"/>
        <v>1,250</v>
      </c>
      <c r="BC291" s="4" t="str">
        <f t="shared" si="1106"/>
        <v>1,250</v>
      </c>
      <c r="BD291" s="4" t="str">
        <f t="shared" si="1107"/>
        <v>1,250</v>
      </c>
      <c r="BE291" s="4" t="str">
        <f t="shared" si="1108"/>
        <v>1,250</v>
      </c>
      <c r="BF291" s="4" t="str">
        <f t="shared" si="1109"/>
        <v>1,250</v>
      </c>
      <c r="BG291" s="4" t="str">
        <f t="shared" si="1110"/>
        <v>1,250</v>
      </c>
      <c r="BH291" s="4" t="str">
        <f t="shared" si="1111"/>
        <v>1,250</v>
      </c>
      <c r="BI291" s="4" t="str">
        <f t="shared" si="1112"/>
        <v>1,250</v>
      </c>
      <c r="BJ291" s="4" t="str">
        <f t="shared" si="1113"/>
        <v>1,250</v>
      </c>
    </row>
    <row r="292" customHeight="1" spans="1:62">
      <c r="A292" s="62">
        <f t="shared" si="1179"/>
        <v>1724</v>
      </c>
      <c r="B292" s="55" t="s">
        <v>126</v>
      </c>
      <c r="C292" s="64" t="s">
        <v>218</v>
      </c>
      <c r="D292" s="46" t="s">
        <v>369</v>
      </c>
      <c r="E292" s="66">
        <v>3</v>
      </c>
      <c r="F292" s="35">
        <v>1</v>
      </c>
      <c r="G292" s="35">
        <f t="shared" si="1114"/>
        <v>1</v>
      </c>
      <c r="H292" s="35">
        <v>1</v>
      </c>
      <c r="I292" s="35">
        <v>1</v>
      </c>
      <c r="J292" s="35">
        <v>1</v>
      </c>
      <c r="K292" s="35">
        <v>1</v>
      </c>
      <c r="L292" s="35">
        <v>1</v>
      </c>
      <c r="M292" s="35"/>
      <c r="N292">
        <f>INDEX($C$2:$C$5,MATCH(E292,$B$2:$B$5,0))</f>
        <v>1500</v>
      </c>
      <c r="O292" s="35">
        <v>1</v>
      </c>
      <c r="P292" s="24">
        <f>ROUND(INDEX($C$2:$C$5,MATCH($E292,$B$2:$B$5,0))*$F292/SUMIFS($F:$F,$E:$E,$E292,$B:$B,$B292,O:O,1)*IF(B292=$B$10,0.9,1),0)</f>
        <v>250</v>
      </c>
      <c r="Q292" s="24">
        <f t="shared" ref="Q292:U292" si="1216">IF($L292&lt;=Q$8,1,0)</f>
        <v>1</v>
      </c>
      <c r="R292" s="24">
        <f>ROUND(INDEX($C$2:$C$5,MATCH($E292,$B$2:$B$5,0))*$I292/SUMIFS($I:$I,$E:$E,$E292,$B:$B,$B292,Q:Q,1)*IF(B292=$B$10,0.9,1),0)</f>
        <v>300</v>
      </c>
      <c r="S292" s="24">
        <f t="shared" si="1216"/>
        <v>1</v>
      </c>
      <c r="T292" s="24">
        <f>ROUND(INDEX($C$2:$C$5,MATCH($E292,$B$2:$B$5,0))*$J292/SUMIFS($J:$J,$E:$E,$E292,$B:$B,$B292,S:S,1)*IF(B292=$B$10,0.9,1),0)</f>
        <v>300</v>
      </c>
      <c r="U292" s="24">
        <f t="shared" si="1216"/>
        <v>1</v>
      </c>
      <c r="V292" s="24">
        <f>ROUND(INDEX($C$2:$C$5,MATCH($E292,$B$2:$B$5,0))*$K292/SUMIFS($K:$K,$E:$E,$E292,$B:$B,$B292,U:U,1)*IF(B292=$B$10,0.9,1),0)</f>
        <v>300</v>
      </c>
      <c r="W292" s="24">
        <f t="shared" ref="W292:AA292" si="1217">IF($L292&lt;=W$8,1,0)</f>
        <v>1</v>
      </c>
      <c r="X292" s="24">
        <f>ROUND(INDEX($C$2:$C$5,MATCH($E292,$B$2:$B$5,0))*$F292/SUMIFS($F:$F,$E:$E,$E292,$B:$B,$B292,W:W,1)*IF(B292=$B$10,0.9,1),0)</f>
        <v>250</v>
      </c>
      <c r="Y292" s="24">
        <f t="shared" si="1217"/>
        <v>1</v>
      </c>
      <c r="Z292" s="24">
        <f>ROUND(INDEX($C$2:$C$5,MATCH($E292,$B$2:$B$5,0))*$G292/SUMIFS($G:$G,$E:$E,$E292,$B:$B,$B292,Y:Y,1)*IF(B292=$B$10,0.9,1),0)</f>
        <v>250</v>
      </c>
      <c r="AA292" s="24">
        <f t="shared" si="1217"/>
        <v>1</v>
      </c>
      <c r="AB292" s="24">
        <f>ROUND(INDEX($C$2:$C$5,MATCH($E292,$B$2:$B$5,0))*$H292/SUMIFS($H:$H,$E:$E,$E292,$B:$B,$B292,AA:AA,1)*IF(B292=$B$10,0.9,1),0)</f>
        <v>250</v>
      </c>
      <c r="AC292" s="24">
        <f t="shared" ref="AC292:AG292" si="1218">IF($L292&lt;=AC$8,1,0)</f>
        <v>1</v>
      </c>
      <c r="AD292" s="24">
        <f>ROUND(INDEX($C$2:$C$5,MATCH($E292,$B$2:$B$5,0))*$F292/SUMIFS($F:$F,$E:$E,$E292,$B:$B,$B292,AC:AC,1)*IF(B292=$B$10,0.9,1),0)</f>
        <v>250</v>
      </c>
      <c r="AE292" s="24">
        <f t="shared" si="1218"/>
        <v>1</v>
      </c>
      <c r="AF292" s="24">
        <f>ROUND(INDEX($C$2:$C$5,MATCH($E292,$B$2:$B$5,0))*$G292/SUMIFS($G:$G,$E:$E,$E292,$B:$B,$B292,AE:AE,1)*IF(B292=$B$10,0.9,1),0)</f>
        <v>250</v>
      </c>
      <c r="AG292" s="24">
        <f t="shared" si="1218"/>
        <v>1</v>
      </c>
      <c r="AH292" s="24">
        <f>ROUND(INDEX($C$2:$C$5,MATCH($E292,$B$2:$B$5,0))*$H292/SUMIFS($H:$H,$E:$E,$E292,$B:$B,$B292,AG:AG,1)*IF(B292=$B$10,0.9,1),0)</f>
        <v>250</v>
      </c>
      <c r="AI292" s="24">
        <f t="shared" ref="AI292:AM292" si="1219">IF($L292&lt;=AI$8,1,0)</f>
        <v>1</v>
      </c>
      <c r="AJ292" s="24">
        <f>ROUND(INDEX($C$2:$C$5,MATCH($E292,$B$2:$B$5,0))*$F292/SUMIFS($F:$F,$E:$E,$E292,$B:$B,$B292,AI:AI,1)*IF(B292=$B$10,0.9,1),0)</f>
        <v>250</v>
      </c>
      <c r="AK292" s="24">
        <f t="shared" si="1219"/>
        <v>1</v>
      </c>
      <c r="AL292" s="24">
        <f>ROUND(INDEX($C$2:$C$5,MATCH($E292,$B$2:$B$5,0))*$G292/SUMIFS($G:$G,$E:$E,$E292,$B:$B,$B292,AK:AK,1)*IF(B292=$B$10,0.9,1),0)</f>
        <v>250</v>
      </c>
      <c r="AM292" s="24">
        <f t="shared" si="1219"/>
        <v>1</v>
      </c>
      <c r="AN292" s="24">
        <f>ROUND(INDEX($C$2:$C$5,MATCH($E292,$B$2:$B$5,0))*$H292/SUMIFS($H:$H,$E:$E,$E292,$B:$B,$B292,AM:AM,1)*IF(B292=$B$10,0.9,1),0)</f>
        <v>250</v>
      </c>
      <c r="AX292" s="4" t="str">
        <f t="shared" si="1101"/>
        <v>1,250</v>
      </c>
      <c r="AY292" s="4" t="str">
        <f t="shared" si="1102"/>
        <v>1,300</v>
      </c>
      <c r="AZ292" s="4" t="str">
        <f t="shared" si="1103"/>
        <v>1,300</v>
      </c>
      <c r="BA292" s="4" t="str">
        <f t="shared" si="1104"/>
        <v>1,300</v>
      </c>
      <c r="BB292" s="4" t="str">
        <f t="shared" si="1105"/>
        <v>1,250</v>
      </c>
      <c r="BC292" s="4" t="str">
        <f t="shared" si="1106"/>
        <v>1,250</v>
      </c>
      <c r="BD292" s="4" t="str">
        <f t="shared" si="1107"/>
        <v>1,250</v>
      </c>
      <c r="BE292" s="4" t="str">
        <f t="shared" si="1108"/>
        <v>1,250</v>
      </c>
      <c r="BF292" s="4" t="str">
        <f t="shared" si="1109"/>
        <v>1,250</v>
      </c>
      <c r="BG292" s="4" t="str">
        <f t="shared" si="1110"/>
        <v>1,250</v>
      </c>
      <c r="BH292" s="4" t="str">
        <f t="shared" si="1111"/>
        <v>1,250</v>
      </c>
      <c r="BI292" s="4" t="str">
        <f t="shared" si="1112"/>
        <v>1,250</v>
      </c>
      <c r="BJ292" s="4" t="str">
        <f t="shared" si="1113"/>
        <v>1,250</v>
      </c>
    </row>
    <row r="293" customHeight="1" spans="1:62">
      <c r="A293" s="62">
        <f t="shared" si="1179"/>
        <v>1731</v>
      </c>
      <c r="B293" s="55" t="s">
        <v>126</v>
      </c>
      <c r="C293" s="64" t="s">
        <v>218</v>
      </c>
      <c r="D293" s="44" t="s">
        <v>128</v>
      </c>
      <c r="E293" s="67">
        <v>2</v>
      </c>
      <c r="F293" s="35">
        <v>1</v>
      </c>
      <c r="G293" s="35">
        <f t="shared" si="1114"/>
        <v>1</v>
      </c>
      <c r="H293" s="35">
        <v>1</v>
      </c>
      <c r="I293" s="35">
        <v>1</v>
      </c>
      <c r="J293" s="35">
        <v>1</v>
      </c>
      <c r="K293" s="35">
        <v>1</v>
      </c>
      <c r="L293" s="35">
        <v>2</v>
      </c>
      <c r="M293" s="35"/>
      <c r="N293">
        <f>INDEX($C$2:$C$5,MATCH(E293,$B$2:$B$5,0))</f>
        <v>4500</v>
      </c>
      <c r="O293" s="35">
        <v>1</v>
      </c>
      <c r="P293" s="24">
        <f>ROUND(INDEX($C$2:$C$5,MATCH($E293,$B$2:$B$5,0))*$F293/SUMIFS($F:$F,$E:$E,$E293,$B:$B,$B293,O:O,1)*IF(B293=$B$10,0.9,1),0)</f>
        <v>750</v>
      </c>
      <c r="Q293" s="24">
        <f t="shared" ref="Q293:U293" si="1220">IF($L293&lt;=Q$8,1,0)</f>
        <v>0</v>
      </c>
      <c r="R293" s="24">
        <f>ROUND(INDEX($C$2:$C$5,MATCH($E293,$B$2:$B$5,0))*$I293/SUMIFS($I:$I,$E:$E,$E293,$B:$B,$B293,Q:Q,1)*IF(B293=$B$10,0.9,1),0)</f>
        <v>900</v>
      </c>
      <c r="S293" s="24">
        <f t="shared" si="1220"/>
        <v>0</v>
      </c>
      <c r="T293" s="24">
        <f>ROUND(INDEX($C$2:$C$5,MATCH($E293,$B$2:$B$5,0))*$J293/SUMIFS($J:$J,$E:$E,$E293,$B:$B,$B293,S:S,1)*IF(B293=$B$10,0.9,1),0)</f>
        <v>900</v>
      </c>
      <c r="U293" s="24">
        <f t="shared" si="1220"/>
        <v>0</v>
      </c>
      <c r="V293" s="24">
        <f>ROUND(INDEX($C$2:$C$5,MATCH($E293,$B$2:$B$5,0))*$K293/SUMIFS($K:$K,$E:$E,$E293,$B:$B,$B293,U:U,1)*IF(B293=$B$10,0.9,1),0)</f>
        <v>900</v>
      </c>
      <c r="W293" s="24">
        <f t="shared" ref="W293:AA293" si="1221">IF($L293&lt;=W$8,1,0)</f>
        <v>1</v>
      </c>
      <c r="X293" s="24">
        <f>ROUND(INDEX($C$2:$C$5,MATCH($E293,$B$2:$B$5,0))*$F293/SUMIFS($F:$F,$E:$E,$E293,$B:$B,$B293,W:W,1)*IF(B293=$B$10,0.9,1),0)</f>
        <v>750</v>
      </c>
      <c r="Y293" s="24">
        <f t="shared" si="1221"/>
        <v>1</v>
      </c>
      <c r="Z293" s="24">
        <f>ROUND(INDEX($C$2:$C$5,MATCH($E293,$B$2:$B$5,0))*$G293/SUMIFS($G:$G,$E:$E,$E293,$B:$B,$B293,Y:Y,1)*IF(B293=$B$10,0.9,1),0)</f>
        <v>750</v>
      </c>
      <c r="AA293" s="24">
        <f t="shared" si="1221"/>
        <v>1</v>
      </c>
      <c r="AB293" s="24">
        <f>ROUND(INDEX($C$2:$C$5,MATCH($E293,$B$2:$B$5,0))*$H293/SUMIFS($H:$H,$E:$E,$E293,$B:$B,$B293,AA:AA,1)*IF(B293=$B$10,0.9,1),0)</f>
        <v>750</v>
      </c>
      <c r="AC293" s="24">
        <f t="shared" ref="AC293:AG293" si="1222">IF($L293&lt;=AC$8,1,0)</f>
        <v>1</v>
      </c>
      <c r="AD293" s="24">
        <f>ROUND(INDEX($C$2:$C$5,MATCH($E293,$B$2:$B$5,0))*$F293/SUMIFS($F:$F,$E:$E,$E293,$B:$B,$B293,AC:AC,1)*IF(B293=$B$10,0.9,1),0)</f>
        <v>750</v>
      </c>
      <c r="AE293" s="24">
        <f t="shared" si="1222"/>
        <v>1</v>
      </c>
      <c r="AF293" s="24">
        <f>ROUND(INDEX($C$2:$C$5,MATCH($E293,$B$2:$B$5,0))*$G293/SUMIFS($G:$G,$E:$E,$E293,$B:$B,$B293,AE:AE,1)*IF(B293=$B$10,0.9,1),0)</f>
        <v>750</v>
      </c>
      <c r="AG293" s="24">
        <f t="shared" si="1222"/>
        <v>1</v>
      </c>
      <c r="AH293" s="24">
        <f>ROUND(INDEX($C$2:$C$5,MATCH($E293,$B$2:$B$5,0))*$H293/SUMIFS($H:$H,$E:$E,$E293,$B:$B,$B293,AG:AG,1)*IF(B293=$B$10,0.9,1),0)</f>
        <v>750</v>
      </c>
      <c r="AI293" s="24">
        <f t="shared" ref="AI293:AM293" si="1223">IF($L293&lt;=AI$8,1,0)</f>
        <v>1</v>
      </c>
      <c r="AJ293" s="24">
        <f>ROUND(INDEX($C$2:$C$5,MATCH($E293,$B$2:$B$5,0))*$F293/SUMIFS($F:$F,$E:$E,$E293,$B:$B,$B293,AI:AI,1)*IF(B293=$B$10,0.9,1),0)</f>
        <v>750</v>
      </c>
      <c r="AK293" s="24">
        <f t="shared" si="1223"/>
        <v>1</v>
      </c>
      <c r="AL293" s="24">
        <f>ROUND(INDEX($C$2:$C$5,MATCH($E293,$B$2:$B$5,0))*$G293/SUMIFS($G:$G,$E:$E,$E293,$B:$B,$B293,AK:AK,1)*IF(B293=$B$10,0.9,1),0)</f>
        <v>750</v>
      </c>
      <c r="AM293" s="24">
        <f t="shared" si="1223"/>
        <v>1</v>
      </c>
      <c r="AN293" s="24">
        <f>ROUND(INDEX($C$2:$C$5,MATCH($E293,$B$2:$B$5,0))*$H293/SUMIFS($H:$H,$E:$E,$E293,$B:$B,$B293,AM:AM,1)*IF(B293=$B$10,0.9,1),0)</f>
        <v>750</v>
      </c>
      <c r="AX293" s="4" t="str">
        <f t="shared" si="1101"/>
        <v>1,750</v>
      </c>
      <c r="AY293" s="4" t="str">
        <f t="shared" si="1102"/>
        <v>0,900</v>
      </c>
      <c r="AZ293" s="4" t="str">
        <f t="shared" si="1103"/>
        <v>0,900</v>
      </c>
      <c r="BA293" s="4" t="str">
        <f t="shared" si="1104"/>
        <v>0,900</v>
      </c>
      <c r="BB293" s="4" t="str">
        <f t="shared" si="1105"/>
        <v>1,750</v>
      </c>
      <c r="BC293" s="4" t="str">
        <f t="shared" si="1106"/>
        <v>1,750</v>
      </c>
      <c r="BD293" s="4" t="str">
        <f t="shared" si="1107"/>
        <v>1,750</v>
      </c>
      <c r="BE293" s="4" t="str">
        <f t="shared" si="1108"/>
        <v>1,750</v>
      </c>
      <c r="BF293" s="4" t="str">
        <f t="shared" si="1109"/>
        <v>1,750</v>
      </c>
      <c r="BG293" s="4" t="str">
        <f t="shared" si="1110"/>
        <v>1,750</v>
      </c>
      <c r="BH293" s="4" t="str">
        <f t="shared" si="1111"/>
        <v>1,750</v>
      </c>
      <c r="BI293" s="4" t="str">
        <f t="shared" si="1112"/>
        <v>1,750</v>
      </c>
      <c r="BJ293" s="4" t="str">
        <f t="shared" si="1113"/>
        <v>1,750</v>
      </c>
    </row>
    <row r="294" customHeight="1" spans="1:62">
      <c r="A294" s="62">
        <f t="shared" si="1179"/>
        <v>1732</v>
      </c>
      <c r="B294" s="55" t="s">
        <v>126</v>
      </c>
      <c r="C294" s="64" t="s">
        <v>218</v>
      </c>
      <c r="D294" s="44" t="s">
        <v>129</v>
      </c>
      <c r="E294" s="67">
        <v>2</v>
      </c>
      <c r="F294" s="35">
        <v>1</v>
      </c>
      <c r="G294" s="35">
        <f t="shared" si="1114"/>
        <v>1</v>
      </c>
      <c r="H294" s="35">
        <v>1</v>
      </c>
      <c r="I294" s="35">
        <v>1</v>
      </c>
      <c r="J294" s="35">
        <v>1</v>
      </c>
      <c r="K294" s="35">
        <v>1</v>
      </c>
      <c r="L294" s="35">
        <v>1</v>
      </c>
      <c r="M294" s="35"/>
      <c r="N294">
        <f>INDEX($C$2:$C$5,MATCH(E294,$B$2:$B$5,0))</f>
        <v>4500</v>
      </c>
      <c r="O294" s="35">
        <v>1</v>
      </c>
      <c r="P294" s="24">
        <f>ROUND(INDEX($C$2:$C$5,MATCH($E294,$B$2:$B$5,0))*$F294/SUMIFS($F:$F,$E:$E,$E294,$B:$B,$B294,O:O,1)*IF(B294=$B$10,0.9,1),0)</f>
        <v>750</v>
      </c>
      <c r="Q294" s="24">
        <f t="shared" ref="Q294:U294" si="1224">IF($L294&lt;=Q$8,1,0)</f>
        <v>1</v>
      </c>
      <c r="R294" s="24">
        <f>ROUND(INDEX($C$2:$C$5,MATCH($E294,$B$2:$B$5,0))*$I294/SUMIFS($I:$I,$E:$E,$E294,$B:$B,$B294,Q:Q,1)*IF(B294=$B$10,0.9,1),0)</f>
        <v>900</v>
      </c>
      <c r="S294" s="24">
        <f t="shared" si="1224"/>
        <v>1</v>
      </c>
      <c r="T294" s="24">
        <f>ROUND(INDEX($C$2:$C$5,MATCH($E294,$B$2:$B$5,0))*$J294/SUMIFS($J:$J,$E:$E,$E294,$B:$B,$B294,S:S,1)*IF(B294=$B$10,0.9,1),0)</f>
        <v>900</v>
      </c>
      <c r="U294" s="24">
        <f t="shared" si="1224"/>
        <v>1</v>
      </c>
      <c r="V294" s="24">
        <f>ROUND(INDEX($C$2:$C$5,MATCH($E294,$B$2:$B$5,0))*$K294/SUMIFS($K:$K,$E:$E,$E294,$B:$B,$B294,U:U,1)*IF(B294=$B$10,0.9,1),0)</f>
        <v>900</v>
      </c>
      <c r="W294" s="24">
        <f t="shared" ref="W294:AA294" si="1225">IF($L294&lt;=W$8,1,0)</f>
        <v>1</v>
      </c>
      <c r="X294" s="24">
        <f>ROUND(INDEX($C$2:$C$5,MATCH($E294,$B$2:$B$5,0))*$F294/SUMIFS($F:$F,$E:$E,$E294,$B:$B,$B294,W:W,1)*IF(B294=$B$10,0.9,1),0)</f>
        <v>750</v>
      </c>
      <c r="Y294" s="24">
        <f t="shared" si="1225"/>
        <v>1</v>
      </c>
      <c r="Z294" s="24">
        <f>ROUND(INDEX($C$2:$C$5,MATCH($E294,$B$2:$B$5,0))*$G294/SUMIFS($G:$G,$E:$E,$E294,$B:$B,$B294,Y:Y,1)*IF(B294=$B$10,0.9,1),0)</f>
        <v>750</v>
      </c>
      <c r="AA294" s="24">
        <f t="shared" si="1225"/>
        <v>1</v>
      </c>
      <c r="AB294" s="24">
        <f>ROUND(INDEX($C$2:$C$5,MATCH($E294,$B$2:$B$5,0))*$H294/SUMIFS($H:$H,$E:$E,$E294,$B:$B,$B294,AA:AA,1)*IF(B294=$B$10,0.9,1),0)</f>
        <v>750</v>
      </c>
      <c r="AC294" s="24">
        <f t="shared" ref="AC294:AG294" si="1226">IF($L294&lt;=AC$8,1,0)</f>
        <v>1</v>
      </c>
      <c r="AD294" s="24">
        <f>ROUND(INDEX($C$2:$C$5,MATCH($E294,$B$2:$B$5,0))*$F294/SUMIFS($F:$F,$E:$E,$E294,$B:$B,$B294,AC:AC,1)*IF(B294=$B$10,0.9,1),0)</f>
        <v>750</v>
      </c>
      <c r="AE294" s="24">
        <f t="shared" si="1226"/>
        <v>1</v>
      </c>
      <c r="AF294" s="24">
        <f>ROUND(INDEX($C$2:$C$5,MATCH($E294,$B$2:$B$5,0))*$G294/SUMIFS($G:$G,$E:$E,$E294,$B:$B,$B294,AE:AE,1)*IF(B294=$B$10,0.9,1),0)</f>
        <v>750</v>
      </c>
      <c r="AG294" s="24">
        <f t="shared" si="1226"/>
        <v>1</v>
      </c>
      <c r="AH294" s="24">
        <f>ROUND(INDEX($C$2:$C$5,MATCH($E294,$B$2:$B$5,0))*$H294/SUMIFS($H:$H,$E:$E,$E294,$B:$B,$B294,AG:AG,1)*IF(B294=$B$10,0.9,1),0)</f>
        <v>750</v>
      </c>
      <c r="AI294" s="24">
        <f t="shared" ref="AI294:AM294" si="1227">IF($L294&lt;=AI$8,1,0)</f>
        <v>1</v>
      </c>
      <c r="AJ294" s="24">
        <f>ROUND(INDEX($C$2:$C$5,MATCH($E294,$B$2:$B$5,0))*$F294/SUMIFS($F:$F,$E:$E,$E294,$B:$B,$B294,AI:AI,1)*IF(B294=$B$10,0.9,1),0)</f>
        <v>750</v>
      </c>
      <c r="AK294" s="24">
        <f t="shared" si="1227"/>
        <v>1</v>
      </c>
      <c r="AL294" s="24">
        <f>ROUND(INDEX($C$2:$C$5,MATCH($E294,$B$2:$B$5,0))*$G294/SUMIFS($G:$G,$E:$E,$E294,$B:$B,$B294,AK:AK,1)*IF(B294=$B$10,0.9,1),0)</f>
        <v>750</v>
      </c>
      <c r="AM294" s="24">
        <f t="shared" si="1227"/>
        <v>1</v>
      </c>
      <c r="AN294" s="24">
        <f>ROUND(INDEX($C$2:$C$5,MATCH($E294,$B$2:$B$5,0))*$H294/SUMIFS($H:$H,$E:$E,$E294,$B:$B,$B294,AM:AM,1)*IF(B294=$B$10,0.9,1),0)</f>
        <v>750</v>
      </c>
      <c r="AX294" s="4" t="str">
        <f t="shared" si="1101"/>
        <v>1,750</v>
      </c>
      <c r="AY294" s="4" t="str">
        <f t="shared" si="1102"/>
        <v>1,900</v>
      </c>
      <c r="AZ294" s="4" t="str">
        <f t="shared" si="1103"/>
        <v>1,900</v>
      </c>
      <c r="BA294" s="4" t="str">
        <f t="shared" si="1104"/>
        <v>1,900</v>
      </c>
      <c r="BB294" s="4" t="str">
        <f t="shared" si="1105"/>
        <v>1,750</v>
      </c>
      <c r="BC294" s="4" t="str">
        <f t="shared" si="1106"/>
        <v>1,750</v>
      </c>
      <c r="BD294" s="4" t="str">
        <f t="shared" si="1107"/>
        <v>1,750</v>
      </c>
      <c r="BE294" s="4" t="str">
        <f t="shared" si="1108"/>
        <v>1,750</v>
      </c>
      <c r="BF294" s="4" t="str">
        <f t="shared" si="1109"/>
        <v>1,750</v>
      </c>
      <c r="BG294" s="4" t="str">
        <f t="shared" si="1110"/>
        <v>1,750</v>
      </c>
      <c r="BH294" s="4" t="str">
        <f t="shared" si="1111"/>
        <v>1,750</v>
      </c>
      <c r="BI294" s="4" t="str">
        <f t="shared" si="1112"/>
        <v>1,750</v>
      </c>
      <c r="BJ294" s="4" t="str">
        <f t="shared" si="1113"/>
        <v>1,750</v>
      </c>
    </row>
    <row r="295" customHeight="1" spans="1:62">
      <c r="A295" s="62">
        <f t="shared" si="1179"/>
        <v>1741</v>
      </c>
      <c r="B295" s="55" t="s">
        <v>126</v>
      </c>
      <c r="C295" s="64"/>
      <c r="D295" s="46" t="s">
        <v>130</v>
      </c>
      <c r="E295" s="62">
        <v>3</v>
      </c>
      <c r="F295" s="35">
        <v>1</v>
      </c>
      <c r="G295" s="35">
        <f t="shared" si="1114"/>
        <v>1</v>
      </c>
      <c r="H295" s="35">
        <v>1</v>
      </c>
      <c r="I295" s="35">
        <v>1</v>
      </c>
      <c r="J295" s="35">
        <v>1</v>
      </c>
      <c r="K295" s="35">
        <v>1</v>
      </c>
      <c r="L295" s="35">
        <v>2</v>
      </c>
      <c r="M295" s="35"/>
      <c r="N295">
        <f>INDEX($C$2:$C$5,MATCH(E295,$B$2:$B$5,0))</f>
        <v>1500</v>
      </c>
      <c r="O295" s="35">
        <v>1</v>
      </c>
      <c r="P295" s="24">
        <f>ROUND(INDEX($C$2:$C$5,MATCH($E295,$B$2:$B$5,0))*$F295/SUMIFS($F:$F,$E:$E,$E295,$B:$B,$B295,O:O,1)*IF(B295=$B$10,0.9,1),0)</f>
        <v>250</v>
      </c>
      <c r="Q295" s="24">
        <f t="shared" ref="Q295:U295" si="1228">IF($L295&lt;=Q$8,1,0)</f>
        <v>0</v>
      </c>
      <c r="R295" s="24">
        <f>ROUND(INDEX($C$2:$C$5,MATCH($E295,$B$2:$B$5,0))*$I295/SUMIFS($I:$I,$E:$E,$E295,$B:$B,$B295,Q:Q,1)*IF(B295=$B$10,0.9,1),0)</f>
        <v>300</v>
      </c>
      <c r="S295" s="24">
        <f t="shared" si="1228"/>
        <v>0</v>
      </c>
      <c r="T295" s="24">
        <f>ROUND(INDEX($C$2:$C$5,MATCH($E295,$B$2:$B$5,0))*$J295/SUMIFS($J:$J,$E:$E,$E295,$B:$B,$B295,S:S,1)*IF(B295=$B$10,0.9,1),0)</f>
        <v>300</v>
      </c>
      <c r="U295" s="24">
        <f t="shared" si="1228"/>
        <v>0</v>
      </c>
      <c r="V295" s="24">
        <f>ROUND(INDEX($C$2:$C$5,MATCH($E295,$B$2:$B$5,0))*$K295/SUMIFS($K:$K,$E:$E,$E295,$B:$B,$B295,U:U,1)*IF(B295=$B$10,0.9,1),0)</f>
        <v>300</v>
      </c>
      <c r="W295" s="24">
        <f t="shared" ref="W295:AA295" si="1229">IF($L295&lt;=W$8,1,0)</f>
        <v>1</v>
      </c>
      <c r="X295" s="24">
        <f>ROUND(INDEX($C$2:$C$5,MATCH($E295,$B$2:$B$5,0))*$F295/SUMIFS($F:$F,$E:$E,$E295,$B:$B,$B295,W:W,1)*IF(B295=$B$10,0.9,1),0)</f>
        <v>250</v>
      </c>
      <c r="Y295" s="24">
        <f t="shared" si="1229"/>
        <v>1</v>
      </c>
      <c r="Z295" s="24">
        <f>ROUND(INDEX($C$2:$C$5,MATCH($E295,$B$2:$B$5,0))*$G295/SUMIFS($G:$G,$E:$E,$E295,$B:$B,$B295,Y:Y,1)*IF(B295=$B$10,0.9,1),0)</f>
        <v>250</v>
      </c>
      <c r="AA295" s="24">
        <f t="shared" si="1229"/>
        <v>1</v>
      </c>
      <c r="AB295" s="24">
        <f>ROUND(INDEX($C$2:$C$5,MATCH($E295,$B$2:$B$5,0))*$H295/SUMIFS($H:$H,$E:$E,$E295,$B:$B,$B295,AA:AA,1)*IF(B295=$B$10,0.9,1),0)</f>
        <v>250</v>
      </c>
      <c r="AC295" s="24">
        <f t="shared" ref="AC295:AG295" si="1230">IF($L295&lt;=AC$8,1,0)</f>
        <v>1</v>
      </c>
      <c r="AD295" s="24">
        <f>ROUND(INDEX($C$2:$C$5,MATCH($E295,$B$2:$B$5,0))*$F295/SUMIFS($F:$F,$E:$E,$E295,$B:$B,$B295,AC:AC,1)*IF(B295=$B$10,0.9,1),0)</f>
        <v>250</v>
      </c>
      <c r="AE295" s="24">
        <f t="shared" si="1230"/>
        <v>1</v>
      </c>
      <c r="AF295" s="24">
        <f>ROUND(INDEX($C$2:$C$5,MATCH($E295,$B$2:$B$5,0))*$G295/SUMIFS($G:$G,$E:$E,$E295,$B:$B,$B295,AE:AE,1)*IF(B295=$B$10,0.9,1),0)</f>
        <v>250</v>
      </c>
      <c r="AG295" s="24">
        <f t="shared" si="1230"/>
        <v>1</v>
      </c>
      <c r="AH295" s="24">
        <f>ROUND(INDEX($C$2:$C$5,MATCH($E295,$B$2:$B$5,0))*$H295/SUMIFS($H:$H,$E:$E,$E295,$B:$B,$B295,AG:AG,1)*IF(B295=$B$10,0.9,1),0)</f>
        <v>250</v>
      </c>
      <c r="AI295" s="24">
        <f t="shared" ref="AI295:AM295" si="1231">IF($L295&lt;=AI$8,1,0)</f>
        <v>1</v>
      </c>
      <c r="AJ295" s="24">
        <f>ROUND(INDEX($C$2:$C$5,MATCH($E295,$B$2:$B$5,0))*$F295/SUMIFS($F:$F,$E:$E,$E295,$B:$B,$B295,AI:AI,1)*IF(B295=$B$10,0.9,1),0)</f>
        <v>250</v>
      </c>
      <c r="AK295" s="24">
        <f t="shared" si="1231"/>
        <v>1</v>
      </c>
      <c r="AL295" s="24">
        <f>ROUND(INDEX($C$2:$C$5,MATCH($E295,$B$2:$B$5,0))*$G295/SUMIFS($G:$G,$E:$E,$E295,$B:$B,$B295,AK:AK,1)*IF(B295=$B$10,0.9,1),0)</f>
        <v>250</v>
      </c>
      <c r="AM295" s="24">
        <f t="shared" si="1231"/>
        <v>1</v>
      </c>
      <c r="AN295" s="24">
        <f>ROUND(INDEX($C$2:$C$5,MATCH($E295,$B$2:$B$5,0))*$H295/SUMIFS($H:$H,$E:$E,$E295,$B:$B,$B295,AM:AM,1)*IF(B295=$B$10,0.9,1),0)</f>
        <v>250</v>
      </c>
      <c r="AX295" s="4" t="str">
        <f t="shared" si="1101"/>
        <v>1,250</v>
      </c>
      <c r="AY295" s="4" t="str">
        <f t="shared" si="1102"/>
        <v>0,300</v>
      </c>
      <c r="AZ295" s="4" t="str">
        <f t="shared" si="1103"/>
        <v>0,300</v>
      </c>
      <c r="BA295" s="4" t="str">
        <f t="shared" si="1104"/>
        <v>0,300</v>
      </c>
      <c r="BB295" s="4" t="str">
        <f t="shared" si="1105"/>
        <v>1,250</v>
      </c>
      <c r="BC295" s="4" t="str">
        <f t="shared" si="1106"/>
        <v>1,250</v>
      </c>
      <c r="BD295" s="4" t="str">
        <f t="shared" si="1107"/>
        <v>1,250</v>
      </c>
      <c r="BE295" s="4" t="str">
        <f t="shared" si="1108"/>
        <v>1,250</v>
      </c>
      <c r="BF295" s="4" t="str">
        <f t="shared" si="1109"/>
        <v>1,250</v>
      </c>
      <c r="BG295" s="4" t="str">
        <f t="shared" si="1110"/>
        <v>1,250</v>
      </c>
      <c r="BH295" s="4" t="str">
        <f t="shared" si="1111"/>
        <v>1,250</v>
      </c>
      <c r="BI295" s="4" t="str">
        <f t="shared" si="1112"/>
        <v>1,250</v>
      </c>
      <c r="BJ295" s="4" t="str">
        <f t="shared" si="1113"/>
        <v>1,250</v>
      </c>
    </row>
    <row r="296" customHeight="1" spans="1:62">
      <c r="A296" s="62">
        <f t="shared" si="1179"/>
        <v>1742</v>
      </c>
      <c r="B296" s="55" t="s">
        <v>126</v>
      </c>
      <c r="C296" s="64"/>
      <c r="D296" s="46" t="s">
        <v>131</v>
      </c>
      <c r="E296" s="65">
        <v>3</v>
      </c>
      <c r="F296" s="35">
        <v>1</v>
      </c>
      <c r="G296" s="35">
        <f t="shared" si="1114"/>
        <v>1</v>
      </c>
      <c r="H296" s="35">
        <v>1</v>
      </c>
      <c r="I296" s="35">
        <v>1</v>
      </c>
      <c r="J296" s="35">
        <v>1</v>
      </c>
      <c r="K296" s="35">
        <v>1</v>
      </c>
      <c r="L296" s="35">
        <v>1</v>
      </c>
      <c r="M296" s="35"/>
      <c r="N296">
        <f>INDEX($C$2:$C$5,MATCH(E296,$B$2:$B$5,0))</f>
        <v>1500</v>
      </c>
      <c r="O296" s="35">
        <v>1</v>
      </c>
      <c r="P296" s="24">
        <f>ROUND(INDEX($C$2:$C$5,MATCH($E296,$B$2:$B$5,0))*$F296/SUMIFS($F:$F,$E:$E,$E296,$B:$B,$B296,O:O,1)*IF(B296=$B$10,0.9,1),0)</f>
        <v>250</v>
      </c>
      <c r="Q296" s="24">
        <f t="shared" ref="Q296:U296" si="1232">IF($L296&lt;=Q$8,1,0)</f>
        <v>1</v>
      </c>
      <c r="R296" s="24">
        <f>ROUND(INDEX($C$2:$C$5,MATCH($E296,$B$2:$B$5,0))*$I296/SUMIFS($I:$I,$E:$E,$E296,$B:$B,$B296,Q:Q,1)*IF(B296=$B$10,0.9,1),0)</f>
        <v>300</v>
      </c>
      <c r="S296" s="24">
        <f t="shared" si="1232"/>
        <v>1</v>
      </c>
      <c r="T296" s="24">
        <f>ROUND(INDEX($C$2:$C$5,MATCH($E296,$B$2:$B$5,0))*$J296/SUMIFS($J:$J,$E:$E,$E296,$B:$B,$B296,S:S,1)*IF(B296=$B$10,0.9,1),0)</f>
        <v>300</v>
      </c>
      <c r="U296" s="24">
        <f t="shared" si="1232"/>
        <v>1</v>
      </c>
      <c r="V296" s="24">
        <f>ROUND(INDEX($C$2:$C$5,MATCH($E296,$B$2:$B$5,0))*$K296/SUMIFS($K:$K,$E:$E,$E296,$B:$B,$B296,U:U,1)*IF(B296=$B$10,0.9,1),0)</f>
        <v>300</v>
      </c>
      <c r="W296" s="24">
        <f t="shared" ref="W296:AA296" si="1233">IF($L296&lt;=W$8,1,0)</f>
        <v>1</v>
      </c>
      <c r="X296" s="24">
        <f>ROUND(INDEX($C$2:$C$5,MATCH($E296,$B$2:$B$5,0))*$F296/SUMIFS($F:$F,$E:$E,$E296,$B:$B,$B296,W:W,1)*IF(B296=$B$10,0.9,1),0)</f>
        <v>250</v>
      </c>
      <c r="Y296" s="24">
        <f t="shared" si="1233"/>
        <v>1</v>
      </c>
      <c r="Z296" s="24">
        <f>ROUND(INDEX($C$2:$C$5,MATCH($E296,$B$2:$B$5,0))*$G296/SUMIFS($G:$G,$E:$E,$E296,$B:$B,$B296,Y:Y,1)*IF(B296=$B$10,0.9,1),0)</f>
        <v>250</v>
      </c>
      <c r="AA296" s="24">
        <f t="shared" si="1233"/>
        <v>1</v>
      </c>
      <c r="AB296" s="24">
        <f>ROUND(INDEX($C$2:$C$5,MATCH($E296,$B$2:$B$5,0))*$H296/SUMIFS($H:$H,$E:$E,$E296,$B:$B,$B296,AA:AA,1)*IF(B296=$B$10,0.9,1),0)</f>
        <v>250</v>
      </c>
      <c r="AC296" s="24">
        <f t="shared" ref="AC296:AG296" si="1234">IF($L296&lt;=AC$8,1,0)</f>
        <v>1</v>
      </c>
      <c r="AD296" s="24">
        <f>ROUND(INDEX($C$2:$C$5,MATCH($E296,$B$2:$B$5,0))*$F296/SUMIFS($F:$F,$E:$E,$E296,$B:$B,$B296,AC:AC,1)*IF(B296=$B$10,0.9,1),0)</f>
        <v>250</v>
      </c>
      <c r="AE296" s="24">
        <f t="shared" si="1234"/>
        <v>1</v>
      </c>
      <c r="AF296" s="24">
        <f>ROUND(INDEX($C$2:$C$5,MATCH($E296,$B$2:$B$5,0))*$G296/SUMIFS($G:$G,$E:$E,$E296,$B:$B,$B296,AE:AE,1)*IF(B296=$B$10,0.9,1),0)</f>
        <v>250</v>
      </c>
      <c r="AG296" s="24">
        <f t="shared" si="1234"/>
        <v>1</v>
      </c>
      <c r="AH296" s="24">
        <f>ROUND(INDEX($C$2:$C$5,MATCH($E296,$B$2:$B$5,0))*$H296/SUMIFS($H:$H,$E:$E,$E296,$B:$B,$B296,AG:AG,1)*IF(B296=$B$10,0.9,1),0)</f>
        <v>250</v>
      </c>
      <c r="AI296" s="24">
        <f t="shared" ref="AI296:AM296" si="1235">IF($L296&lt;=AI$8,1,0)</f>
        <v>1</v>
      </c>
      <c r="AJ296" s="24">
        <f>ROUND(INDEX($C$2:$C$5,MATCH($E296,$B$2:$B$5,0))*$F296/SUMIFS($F:$F,$E:$E,$E296,$B:$B,$B296,AI:AI,1)*IF(B296=$B$10,0.9,1),0)</f>
        <v>250</v>
      </c>
      <c r="AK296" s="24">
        <f t="shared" si="1235"/>
        <v>1</v>
      </c>
      <c r="AL296" s="24">
        <f>ROUND(INDEX($C$2:$C$5,MATCH($E296,$B$2:$B$5,0))*$G296/SUMIFS($G:$G,$E:$E,$E296,$B:$B,$B296,AK:AK,1)*IF(B296=$B$10,0.9,1),0)</f>
        <v>250</v>
      </c>
      <c r="AM296" s="24">
        <f t="shared" si="1235"/>
        <v>1</v>
      </c>
      <c r="AN296" s="24">
        <f>ROUND(INDEX($C$2:$C$5,MATCH($E296,$B$2:$B$5,0))*$H296/SUMIFS($H:$H,$E:$E,$E296,$B:$B,$B296,AM:AM,1)*IF(B296=$B$10,0.9,1),0)</f>
        <v>250</v>
      </c>
      <c r="AX296" s="4" t="str">
        <f t="shared" si="1101"/>
        <v>1,250</v>
      </c>
      <c r="AY296" s="4" t="str">
        <f t="shared" si="1102"/>
        <v>1,300</v>
      </c>
      <c r="AZ296" s="4" t="str">
        <f t="shared" si="1103"/>
        <v>1,300</v>
      </c>
      <c r="BA296" s="4" t="str">
        <f t="shared" si="1104"/>
        <v>1,300</v>
      </c>
      <c r="BB296" s="4" t="str">
        <f t="shared" si="1105"/>
        <v>1,250</v>
      </c>
      <c r="BC296" s="4" t="str">
        <f t="shared" si="1106"/>
        <v>1,250</v>
      </c>
      <c r="BD296" s="4" t="str">
        <f t="shared" si="1107"/>
        <v>1,250</v>
      </c>
      <c r="BE296" s="4" t="str">
        <f t="shared" si="1108"/>
        <v>1,250</v>
      </c>
      <c r="BF296" s="4" t="str">
        <f t="shared" si="1109"/>
        <v>1,250</v>
      </c>
      <c r="BG296" s="4" t="str">
        <f t="shared" si="1110"/>
        <v>1,250</v>
      </c>
      <c r="BH296" s="4" t="str">
        <f t="shared" si="1111"/>
        <v>1,250</v>
      </c>
      <c r="BI296" s="4" t="str">
        <f t="shared" si="1112"/>
        <v>1,250</v>
      </c>
      <c r="BJ296" s="4" t="str">
        <f t="shared" si="1113"/>
        <v>1,250</v>
      </c>
    </row>
    <row r="297" customHeight="1" spans="1:62">
      <c r="A297" s="62">
        <f t="shared" si="1179"/>
        <v>1751</v>
      </c>
      <c r="B297" s="55" t="s">
        <v>126</v>
      </c>
      <c r="C297" s="64"/>
      <c r="D297" s="47" t="s">
        <v>132</v>
      </c>
      <c r="E297" s="65">
        <v>4</v>
      </c>
      <c r="F297" s="35">
        <v>1</v>
      </c>
      <c r="G297" s="35">
        <f t="shared" si="1114"/>
        <v>1</v>
      </c>
      <c r="H297" s="35">
        <v>1</v>
      </c>
      <c r="I297" s="35">
        <v>1</v>
      </c>
      <c r="J297" s="35">
        <v>1</v>
      </c>
      <c r="K297" s="35">
        <v>1</v>
      </c>
      <c r="L297" s="35">
        <v>1</v>
      </c>
      <c r="M297" s="35" t="s">
        <v>136</v>
      </c>
      <c r="N297">
        <f>INDEX($C$2:$C$5,MATCH(E297,$B$2:$B$5,0))</f>
        <v>500</v>
      </c>
      <c r="O297" s="35">
        <v>1</v>
      </c>
      <c r="P297" s="24">
        <f>ROUND(INDEX($C$2:$C$5,MATCH($E297,$B$2:$B$5,0))*$F297/SUMIFS($F:$F,$E:$E,$E297,$B:$B,$B297,O:O,1)*IF(B297=$B$10,0.9,1),0)</f>
        <v>250</v>
      </c>
      <c r="Q297" s="24">
        <f t="shared" ref="Q297:U297" si="1236">IF($L297&lt;=Q$8,1,0)</f>
        <v>1</v>
      </c>
      <c r="R297" s="24">
        <f>ROUND(INDEX($C$2:$C$5,MATCH($E297,$B$2:$B$5,0))*$I297/SUMIFS($I:$I,$E:$E,$E297,$B:$B,$B297,Q:Q,1)*IF(B297=$B$10,0.9,1),0)</f>
        <v>500</v>
      </c>
      <c r="S297" s="24">
        <f t="shared" si="1236"/>
        <v>1</v>
      </c>
      <c r="T297" s="24">
        <f>ROUND(INDEX($C$2:$C$5,MATCH($E297,$B$2:$B$5,0))*$J297/SUMIFS($J:$J,$E:$E,$E297,$B:$B,$B297,S:S,1)*IF(B297=$B$10,0.9,1),0)</f>
        <v>500</v>
      </c>
      <c r="U297" s="24">
        <f t="shared" si="1236"/>
        <v>1</v>
      </c>
      <c r="V297" s="24">
        <f>ROUND(INDEX($C$2:$C$5,MATCH($E297,$B$2:$B$5,0))*$K297/SUMIFS($K:$K,$E:$E,$E297,$B:$B,$B297,U:U,1)*IF(B297=$B$10,0.9,1),0)</f>
        <v>500</v>
      </c>
      <c r="W297" s="24">
        <f t="shared" ref="W297:AA297" si="1237">IF($L297&lt;=W$8,1,0)</f>
        <v>1</v>
      </c>
      <c r="X297" s="24">
        <f>ROUND(INDEX($C$2:$C$5,MATCH($E297,$B$2:$B$5,0))*$F297/SUMIFS($F:$F,$E:$E,$E297,$B:$B,$B297,W:W,1)*IF(B297=$B$10,0.9,1),0)</f>
        <v>500</v>
      </c>
      <c r="Y297" s="24">
        <f t="shared" si="1237"/>
        <v>1</v>
      </c>
      <c r="Z297" s="24">
        <f>ROUND(INDEX($C$2:$C$5,MATCH($E297,$B$2:$B$5,0))*$G297/SUMIFS($G:$G,$E:$E,$E297,$B:$B,$B297,Y:Y,1)*IF(B297=$B$10,0.9,1),0)</f>
        <v>500</v>
      </c>
      <c r="AA297" s="24">
        <f t="shared" si="1237"/>
        <v>1</v>
      </c>
      <c r="AB297" s="24">
        <f>ROUND(INDEX($C$2:$C$5,MATCH($E297,$B$2:$B$5,0))*$H297/SUMIFS($H:$H,$E:$E,$E297,$B:$B,$B297,AA:AA,1)*IF(B297=$B$10,0.9,1),0)</f>
        <v>500</v>
      </c>
      <c r="AC297" s="24">
        <f t="shared" ref="AC297:AG297" si="1238">IF($L297&lt;=AC$8,1,0)</f>
        <v>1</v>
      </c>
      <c r="AD297" s="24">
        <f>ROUND(INDEX($C$2:$C$5,MATCH($E297,$B$2:$B$5,0))*$F297/SUMIFS($F:$F,$E:$E,$E297,$B:$B,$B297,AC:AC,1)*IF(B297=$B$10,0.9,1),0)</f>
        <v>250</v>
      </c>
      <c r="AE297" s="24">
        <f t="shared" si="1238"/>
        <v>1</v>
      </c>
      <c r="AF297" s="24">
        <f>ROUND(INDEX($C$2:$C$5,MATCH($E297,$B$2:$B$5,0))*$G297/SUMIFS($G:$G,$E:$E,$E297,$B:$B,$B297,AE:AE,1)*IF(B297=$B$10,0.9,1),0)</f>
        <v>250</v>
      </c>
      <c r="AG297" s="24">
        <f t="shared" si="1238"/>
        <v>1</v>
      </c>
      <c r="AH297" s="24">
        <f>ROUND(INDEX($C$2:$C$5,MATCH($E297,$B$2:$B$5,0))*$H297/SUMIFS($H:$H,$E:$E,$E297,$B:$B,$B297,AG:AG,1)*IF(B297=$B$10,0.9,1),0)</f>
        <v>250</v>
      </c>
      <c r="AI297" s="24">
        <f t="shared" ref="AI297:AM297" si="1239">IF($L297&lt;=AI$8,1,0)</f>
        <v>1</v>
      </c>
      <c r="AJ297" s="24">
        <f>ROUND(INDEX($C$2:$C$5,MATCH($E297,$B$2:$B$5,0))*$F297/SUMIFS($F:$F,$E:$E,$E297,$B:$B,$B297,AI:AI,1)*IF(B297=$B$10,0.9,1),0)</f>
        <v>250</v>
      </c>
      <c r="AK297" s="24">
        <f t="shared" si="1239"/>
        <v>1</v>
      </c>
      <c r="AL297" s="24">
        <f>ROUND(INDEX($C$2:$C$5,MATCH($E297,$B$2:$B$5,0))*$G297/SUMIFS($G:$G,$E:$E,$E297,$B:$B,$B297,AK:AK,1)*IF(B297=$B$10,0.9,1),0)</f>
        <v>250</v>
      </c>
      <c r="AM297" s="24">
        <f t="shared" si="1239"/>
        <v>1</v>
      </c>
      <c r="AN297" s="24">
        <f>ROUND(INDEX($C$2:$C$5,MATCH($E297,$B$2:$B$5,0))*$H297/SUMIFS($H:$H,$E:$E,$E297,$B:$B,$B297,AM:AM,1)*IF(B297=$B$10,0.9,1),0)</f>
        <v>250</v>
      </c>
      <c r="AX297" s="4" t="str">
        <f t="shared" si="1101"/>
        <v>1,250</v>
      </c>
      <c r="AY297" s="4" t="str">
        <f t="shared" si="1102"/>
        <v>1,500</v>
      </c>
      <c r="AZ297" s="4" t="str">
        <f t="shared" si="1103"/>
        <v>1,500</v>
      </c>
      <c r="BA297" s="4" t="str">
        <f t="shared" si="1104"/>
        <v>1,500</v>
      </c>
      <c r="BB297" s="4" t="str">
        <f t="shared" si="1105"/>
        <v>1,500</v>
      </c>
      <c r="BC297" s="4" t="str">
        <f t="shared" si="1106"/>
        <v>1,500</v>
      </c>
      <c r="BD297" s="4" t="str">
        <f t="shared" si="1107"/>
        <v>1,500</v>
      </c>
      <c r="BE297" s="4" t="str">
        <f t="shared" si="1108"/>
        <v>1,250</v>
      </c>
      <c r="BF297" s="4" t="str">
        <f t="shared" si="1109"/>
        <v>1,250</v>
      </c>
      <c r="BG297" s="4" t="str">
        <f t="shared" si="1110"/>
        <v>1,250</v>
      </c>
      <c r="BH297" s="4" t="str">
        <f t="shared" si="1111"/>
        <v>1,250</v>
      </c>
      <c r="BI297" s="4" t="str">
        <f t="shared" si="1112"/>
        <v>1,250</v>
      </c>
      <c r="BJ297" s="4" t="str">
        <f t="shared" si="1113"/>
        <v>1,250</v>
      </c>
    </row>
    <row r="298" s="36" customFormat="1" customHeight="1" spans="1:62">
      <c r="A298" s="68">
        <f t="shared" si="1179"/>
        <v>1752</v>
      </c>
      <c r="B298" s="69" t="s">
        <v>126</v>
      </c>
      <c r="C298" s="70"/>
      <c r="D298" s="48" t="s">
        <v>133</v>
      </c>
      <c r="E298" s="71">
        <v>4</v>
      </c>
      <c r="F298" s="72">
        <v>1</v>
      </c>
      <c r="G298" s="72">
        <f t="shared" si="1114"/>
        <v>1</v>
      </c>
      <c r="H298" s="72">
        <v>1</v>
      </c>
      <c r="I298" s="72">
        <v>1</v>
      </c>
      <c r="J298" s="72">
        <v>1</v>
      </c>
      <c r="K298" s="72">
        <v>1</v>
      </c>
      <c r="L298" s="72">
        <v>3</v>
      </c>
      <c r="M298" s="72"/>
      <c r="N298" s="36">
        <f>INDEX($C$2:$C$5,MATCH(E298,$B$2:$B$5,0))</f>
        <v>500</v>
      </c>
      <c r="O298" s="72">
        <v>1</v>
      </c>
      <c r="P298" s="79">
        <f>ROUND(INDEX($C$2:$C$5,MATCH($E298,$B$2:$B$5,0))*$F298/SUMIFS($F:$F,$E:$E,$E298,$B:$B,$B298,O:O,1)*IF(B298=$B$10,0.9,1),0)</f>
        <v>250</v>
      </c>
      <c r="Q298" s="79">
        <f t="shared" ref="Q298:U298" si="1240">IF($L298&lt;=Q$8,1,0)</f>
        <v>0</v>
      </c>
      <c r="R298" s="79">
        <f>ROUND(INDEX($C$2:$C$5,MATCH($E298,$B$2:$B$5,0))*$I298/SUMIFS($I:$I,$E:$E,$E298,$B:$B,$B298,Q:Q,1)*IF(B298=$B$10,0.9,1),0)</f>
        <v>500</v>
      </c>
      <c r="S298" s="79">
        <f t="shared" si="1240"/>
        <v>0</v>
      </c>
      <c r="T298" s="79">
        <f>ROUND(INDEX($C$2:$C$5,MATCH($E298,$B$2:$B$5,0))*$J298/SUMIFS($J:$J,$E:$E,$E298,$B:$B,$B298,S:S,1)*IF(B298=$B$10,0.9,1),0)</f>
        <v>500</v>
      </c>
      <c r="U298" s="79">
        <f t="shared" si="1240"/>
        <v>0</v>
      </c>
      <c r="V298" s="79">
        <f>ROUND(INDEX($C$2:$C$5,MATCH($E298,$B$2:$B$5,0))*$K298/SUMIFS($K:$K,$E:$E,$E298,$B:$B,$B298,U:U,1)*IF(B298=$B$10,0.9,1),0)</f>
        <v>500</v>
      </c>
      <c r="W298" s="79">
        <f t="shared" ref="W298:AA298" si="1241">IF($L298&lt;=W$8,1,0)</f>
        <v>0</v>
      </c>
      <c r="X298" s="79">
        <f>ROUND(INDEX($C$2:$C$5,MATCH($E298,$B$2:$B$5,0))*$F298/SUMIFS($F:$F,$E:$E,$E298,$B:$B,$B298,W:W,1)*IF(B298=$B$10,0.9,1),0)</f>
        <v>500</v>
      </c>
      <c r="Y298" s="79">
        <f t="shared" si="1241"/>
        <v>0</v>
      </c>
      <c r="Z298" s="79">
        <f>ROUND(INDEX($C$2:$C$5,MATCH($E298,$B$2:$B$5,0))*$G298/SUMIFS($G:$G,$E:$E,$E298,$B:$B,$B298,Y:Y,1)*IF(B298=$B$10,0.9,1),0)</f>
        <v>500</v>
      </c>
      <c r="AA298" s="79">
        <f t="shared" si="1241"/>
        <v>0</v>
      </c>
      <c r="AB298" s="79">
        <f>ROUND(INDEX($C$2:$C$5,MATCH($E298,$B$2:$B$5,0))*$H298/SUMIFS($H:$H,$E:$E,$E298,$B:$B,$B298,AA:AA,1)*IF(B298=$B$10,0.9,1),0)</f>
        <v>500</v>
      </c>
      <c r="AC298" s="79">
        <f t="shared" ref="AC298:AG298" si="1242">IF($L298&lt;=AC$8,1,0)</f>
        <v>1</v>
      </c>
      <c r="AD298" s="79">
        <f>ROUND(INDEX($C$2:$C$5,MATCH($E298,$B$2:$B$5,0))*$F298/SUMIFS($F:$F,$E:$E,$E298,$B:$B,$B298,AC:AC,1)*IF(B298=$B$10,0.9,1),0)</f>
        <v>250</v>
      </c>
      <c r="AE298" s="79">
        <f t="shared" si="1242"/>
        <v>1</v>
      </c>
      <c r="AF298" s="79">
        <f>ROUND(INDEX($C$2:$C$5,MATCH($E298,$B$2:$B$5,0))*$G298/SUMIFS($G:$G,$E:$E,$E298,$B:$B,$B298,AE:AE,1)*IF(B298=$B$10,0.9,1),0)</f>
        <v>250</v>
      </c>
      <c r="AG298" s="79">
        <f t="shared" si="1242"/>
        <v>1</v>
      </c>
      <c r="AH298" s="79">
        <f>ROUND(INDEX($C$2:$C$5,MATCH($E298,$B$2:$B$5,0))*$H298/SUMIFS($H:$H,$E:$E,$E298,$B:$B,$B298,AG:AG,1)*IF(B298=$B$10,0.9,1),0)</f>
        <v>250</v>
      </c>
      <c r="AI298" s="79">
        <f t="shared" ref="AI298:AM298" si="1243">IF($L298&lt;=AI$8,1,0)</f>
        <v>1</v>
      </c>
      <c r="AJ298" s="79">
        <f>ROUND(INDEX($C$2:$C$5,MATCH($E298,$B$2:$B$5,0))*$F298/SUMIFS($F:$F,$E:$E,$E298,$B:$B,$B298,AI:AI,1)*IF(B298=$B$10,0.9,1),0)</f>
        <v>250</v>
      </c>
      <c r="AK298" s="79">
        <f t="shared" si="1243"/>
        <v>1</v>
      </c>
      <c r="AL298" s="79">
        <f>ROUND(INDEX($C$2:$C$5,MATCH($E298,$B$2:$B$5,0))*$G298/SUMIFS($G:$G,$E:$E,$E298,$B:$B,$B298,AK:AK,1)*IF(B298=$B$10,0.9,1),0)</f>
        <v>250</v>
      </c>
      <c r="AM298" s="79">
        <f t="shared" si="1243"/>
        <v>1</v>
      </c>
      <c r="AN298" s="79">
        <f>ROUND(INDEX($C$2:$C$5,MATCH($E298,$B$2:$B$5,0))*$H298/SUMIFS($H:$H,$E:$E,$E298,$B:$B,$B298,AM:AM,1)*IF(B298=$B$10,0.9,1),0)</f>
        <v>250</v>
      </c>
      <c r="AX298" s="81" t="str">
        <f t="shared" si="1101"/>
        <v>1,250</v>
      </c>
      <c r="AY298" s="81" t="str">
        <f t="shared" si="1102"/>
        <v>0,500</v>
      </c>
      <c r="AZ298" s="81" t="str">
        <f t="shared" si="1103"/>
        <v>0,500</v>
      </c>
      <c r="BA298" s="81" t="str">
        <f t="shared" si="1104"/>
        <v>0,500</v>
      </c>
      <c r="BB298" s="81" t="str">
        <f t="shared" si="1105"/>
        <v>0,500</v>
      </c>
      <c r="BC298" s="81" t="str">
        <f t="shared" si="1106"/>
        <v>0,500</v>
      </c>
      <c r="BD298" s="81" t="str">
        <f t="shared" si="1107"/>
        <v>0,500</v>
      </c>
      <c r="BE298" s="81" t="str">
        <f t="shared" si="1108"/>
        <v>1,250</v>
      </c>
      <c r="BF298" s="81" t="str">
        <f t="shared" si="1109"/>
        <v>1,250</v>
      </c>
      <c r="BG298" s="81" t="str">
        <f t="shared" si="1110"/>
        <v>1,250</v>
      </c>
      <c r="BH298" s="81" t="str">
        <f t="shared" si="1111"/>
        <v>1,250</v>
      </c>
      <c r="BI298" s="81" t="str">
        <f t="shared" si="1112"/>
        <v>1,250</v>
      </c>
      <c r="BJ298" s="81" t="str">
        <f t="shared" si="1113"/>
        <v>1,250</v>
      </c>
    </row>
    <row r="299" customHeight="1" spans="1:62">
      <c r="A299" s="73">
        <f t="shared" si="1179"/>
        <v>1801</v>
      </c>
      <c r="B299" s="74" t="s">
        <v>134</v>
      </c>
      <c r="C299" s="75" t="s">
        <v>218</v>
      </c>
      <c r="D299" s="76" t="s">
        <v>356</v>
      </c>
      <c r="E299" s="77">
        <v>1</v>
      </c>
      <c r="F299" s="78">
        <v>1</v>
      </c>
      <c r="G299" s="78">
        <f t="shared" si="1114"/>
        <v>1</v>
      </c>
      <c r="H299" s="78">
        <v>1</v>
      </c>
      <c r="I299" s="78">
        <v>1</v>
      </c>
      <c r="J299" s="78">
        <v>1</v>
      </c>
      <c r="K299" s="78">
        <v>1</v>
      </c>
      <c r="L299" s="78">
        <v>1</v>
      </c>
      <c r="M299" s="78"/>
      <c r="N299">
        <f>INDEX($C$2:$C$5,MATCH(E299,$B$2:$B$5,0))</f>
        <v>13500</v>
      </c>
      <c r="O299" s="78">
        <v>1</v>
      </c>
      <c r="P299" s="80">
        <f>ROUND(INDEX($C$2:$C$5,MATCH($E299,$B$2:$B$5,0))*$F299/SUMIFS($F:$F,$E:$E,$E299,$B:$B,$B299,O:O,1)*IF(B299=$B$10,0.9,1),0)</f>
        <v>4500</v>
      </c>
      <c r="Q299" s="80">
        <f t="shared" ref="Q299:U299" si="1244">IF($L299&lt;=Q$8,1,0)</f>
        <v>1</v>
      </c>
      <c r="R299" s="80">
        <f>ROUND(INDEX($C$2:$C$5,MATCH($E299,$B$2:$B$5,0))*$I299/SUMIFS($I:$I,$E:$E,$E299,$B:$B,$B299,Q:Q,1)*IF(B299=$B$10,0.9,1),0)</f>
        <v>4500</v>
      </c>
      <c r="S299" s="80">
        <f t="shared" si="1244"/>
        <v>1</v>
      </c>
      <c r="T299" s="80">
        <f>ROUND(INDEX($C$2:$C$5,MATCH($E299,$B$2:$B$5,0))*$J299/SUMIFS($J:$J,$E:$E,$E299,$B:$B,$B299,S:S,1)*IF(B299=$B$10,0.9,1),0)</f>
        <v>4500</v>
      </c>
      <c r="U299" s="80">
        <f t="shared" si="1244"/>
        <v>1</v>
      </c>
      <c r="V299" s="80">
        <f>ROUND(INDEX($C$2:$C$5,MATCH($E299,$B$2:$B$5,0))*$K299/SUMIFS($K:$K,$E:$E,$E299,$B:$B,$B299,U:U,1)*IF(B299=$B$10,0.9,1),0)</f>
        <v>4500</v>
      </c>
      <c r="W299" s="80">
        <f t="shared" ref="W299:AA299" si="1245">IF($L299&lt;=W$8,1,0)</f>
        <v>1</v>
      </c>
      <c r="X299" s="80">
        <f>ROUND(INDEX($C$2:$C$5,MATCH($E299,$B$2:$B$5,0))*$F299/SUMIFS($F:$F,$E:$E,$E299,$B:$B,$B299,W:W,1)*IF(B299=$B$10,0.9,1),0)</f>
        <v>4500</v>
      </c>
      <c r="Y299" s="80">
        <f t="shared" si="1245"/>
        <v>1</v>
      </c>
      <c r="Z299" s="80">
        <f>ROUND(INDEX($C$2:$C$5,MATCH($E299,$B$2:$B$5,0))*$G299/SUMIFS($G:$G,$E:$E,$E299,$B:$B,$B299,Y:Y,1)*IF(B299=$B$10,0.9,1),0)</f>
        <v>4500</v>
      </c>
      <c r="AA299" s="80">
        <f t="shared" si="1245"/>
        <v>1</v>
      </c>
      <c r="AB299" s="80">
        <f>ROUND(INDEX($C$2:$C$5,MATCH($E299,$B$2:$B$5,0))*$H299/SUMIFS($H:$H,$E:$E,$E299,$B:$B,$B299,AA:AA,1)*IF(B299=$B$10,0.9,1),0)</f>
        <v>4500</v>
      </c>
      <c r="AC299" s="80">
        <f t="shared" ref="AC299:AG299" si="1246">IF($L299&lt;=AC$8,1,0)</f>
        <v>1</v>
      </c>
      <c r="AD299" s="80">
        <f>ROUND(INDEX($C$2:$C$5,MATCH($E299,$B$2:$B$5,0))*$F299/SUMIFS($F:$F,$E:$E,$E299,$B:$B,$B299,AC:AC,1)*IF(B299=$B$10,0.9,1),0)</f>
        <v>4500</v>
      </c>
      <c r="AE299" s="80">
        <f t="shared" si="1246"/>
        <v>1</v>
      </c>
      <c r="AF299" s="80">
        <f>ROUND(INDEX($C$2:$C$5,MATCH($E299,$B$2:$B$5,0))*$G299/SUMIFS($G:$G,$E:$E,$E299,$B:$B,$B299,AE:AE,1)*IF(B299=$B$10,0.9,1),0)</f>
        <v>4500</v>
      </c>
      <c r="AG299" s="80">
        <f t="shared" si="1246"/>
        <v>1</v>
      </c>
      <c r="AH299" s="80">
        <f>ROUND(INDEX($C$2:$C$5,MATCH($E299,$B$2:$B$5,0))*$H299/SUMIFS($H:$H,$E:$E,$E299,$B:$B,$B299,AG:AG,1)*IF(B299=$B$10,0.9,1),0)</f>
        <v>4500</v>
      </c>
      <c r="AI299" s="80">
        <f t="shared" ref="AI299:AM299" si="1247">IF($L299&lt;=AI$8,1,0)</f>
        <v>1</v>
      </c>
      <c r="AJ299" s="80">
        <f>ROUND(INDEX($C$2:$C$5,MATCH($E299,$B$2:$B$5,0))*$F299/SUMIFS($F:$F,$E:$E,$E299,$B:$B,$B299,AI:AI,1)*IF(B299=$B$10,0.9,1),0)</f>
        <v>4500</v>
      </c>
      <c r="AK299" s="80">
        <f t="shared" si="1247"/>
        <v>1</v>
      </c>
      <c r="AL299" s="80">
        <f>ROUND(INDEX($C$2:$C$5,MATCH($E299,$B$2:$B$5,0))*$G299/SUMIFS($G:$G,$E:$E,$E299,$B:$B,$B299,AK:AK,1)*IF(B299=$B$10,0.9,1),0)</f>
        <v>4500</v>
      </c>
      <c r="AM299" s="80">
        <f t="shared" si="1247"/>
        <v>1</v>
      </c>
      <c r="AN299" s="80">
        <f>ROUND(INDEX($C$2:$C$5,MATCH($E299,$B$2:$B$5,0))*$H299/SUMIFS($H:$H,$E:$E,$E299,$B:$B,$B299,AM:AM,1)*IF(B299=$B$10,0.9,1),0)</f>
        <v>4500</v>
      </c>
      <c r="AX299" s="4" t="str">
        <f t="shared" si="1101"/>
        <v>1,4500</v>
      </c>
      <c r="AY299" s="4" t="str">
        <f t="shared" si="1102"/>
        <v>1,4500</v>
      </c>
      <c r="AZ299" s="4" t="str">
        <f t="shared" si="1103"/>
        <v>1,4500</v>
      </c>
      <c r="BA299" s="4" t="str">
        <f t="shared" si="1104"/>
        <v>1,4500</v>
      </c>
      <c r="BB299" s="4" t="str">
        <f t="shared" si="1105"/>
        <v>1,4500</v>
      </c>
      <c r="BC299" s="4" t="str">
        <f t="shared" si="1106"/>
        <v>1,4500</v>
      </c>
      <c r="BD299" s="4" t="str">
        <f t="shared" si="1107"/>
        <v>1,4500</v>
      </c>
      <c r="BE299" s="4" t="str">
        <f t="shared" si="1108"/>
        <v>1,4500</v>
      </c>
      <c r="BF299" s="4" t="str">
        <f t="shared" si="1109"/>
        <v>1,4500</v>
      </c>
      <c r="BG299" s="4" t="str">
        <f t="shared" si="1110"/>
        <v>1,4500</v>
      </c>
      <c r="BH299" s="4" t="str">
        <f t="shared" si="1111"/>
        <v>1,4500</v>
      </c>
      <c r="BI299" s="4" t="str">
        <f t="shared" si="1112"/>
        <v>1,4500</v>
      </c>
      <c r="BJ299" s="4" t="str">
        <f t="shared" si="1113"/>
        <v>1,4500</v>
      </c>
    </row>
    <row r="300" customHeight="1" spans="1:62">
      <c r="A300" s="62">
        <f t="shared" si="1179"/>
        <v>1802</v>
      </c>
      <c r="B300" s="74" t="s">
        <v>134</v>
      </c>
      <c r="C300" s="64" t="s">
        <v>218</v>
      </c>
      <c r="D300" s="41" t="s">
        <v>357</v>
      </c>
      <c r="E300" s="67">
        <v>1</v>
      </c>
      <c r="F300" s="35">
        <v>1</v>
      </c>
      <c r="G300" s="35">
        <f t="shared" si="1114"/>
        <v>1</v>
      </c>
      <c r="H300" s="35">
        <v>1</v>
      </c>
      <c r="I300" s="35">
        <v>1</v>
      </c>
      <c r="J300" s="35">
        <v>1</v>
      </c>
      <c r="K300" s="35">
        <v>1</v>
      </c>
      <c r="L300" s="35">
        <v>1</v>
      </c>
      <c r="M300" s="35"/>
      <c r="N300">
        <f>INDEX($C$2:$C$5,MATCH(E300,$B$2:$B$5,0))</f>
        <v>13500</v>
      </c>
      <c r="O300" s="35">
        <v>1</v>
      </c>
      <c r="P300" s="24">
        <f>ROUND(INDEX($C$2:$C$5,MATCH($E300,$B$2:$B$5,0))*$F300/SUMIFS($F:$F,$E:$E,$E300,$B:$B,$B300,O:O,1)*IF(B300=$B$10,0.9,1),0)</f>
        <v>4500</v>
      </c>
      <c r="Q300" s="24">
        <f t="shared" ref="Q300:U300" si="1248">IF($L300&lt;=Q$8,1,0)</f>
        <v>1</v>
      </c>
      <c r="R300" s="24">
        <f>ROUND(INDEX($C$2:$C$5,MATCH($E300,$B$2:$B$5,0))*$I300/SUMIFS($I:$I,$E:$E,$E300,$B:$B,$B300,Q:Q,1)*IF(B300=$B$10,0.9,1),0)</f>
        <v>4500</v>
      </c>
      <c r="S300" s="24">
        <f t="shared" si="1248"/>
        <v>1</v>
      </c>
      <c r="T300" s="24">
        <f>ROUND(INDEX($C$2:$C$5,MATCH($E300,$B$2:$B$5,0))*$J300/SUMIFS($J:$J,$E:$E,$E300,$B:$B,$B300,S:S,1)*IF(B300=$B$10,0.9,1),0)</f>
        <v>4500</v>
      </c>
      <c r="U300" s="24">
        <f t="shared" si="1248"/>
        <v>1</v>
      </c>
      <c r="V300" s="24">
        <f>ROUND(INDEX($C$2:$C$5,MATCH($E300,$B$2:$B$5,0))*$K300/SUMIFS($K:$K,$E:$E,$E300,$B:$B,$B300,U:U,1)*IF(B300=$B$10,0.9,1),0)</f>
        <v>4500</v>
      </c>
      <c r="W300" s="24">
        <f t="shared" ref="W300:AA300" si="1249">IF($L300&lt;=W$8,1,0)</f>
        <v>1</v>
      </c>
      <c r="X300" s="24">
        <f>ROUND(INDEX($C$2:$C$5,MATCH($E300,$B$2:$B$5,0))*$F300/SUMIFS($F:$F,$E:$E,$E300,$B:$B,$B300,W:W,1)*IF(B300=$B$10,0.9,1),0)</f>
        <v>4500</v>
      </c>
      <c r="Y300" s="24">
        <f t="shared" si="1249"/>
        <v>1</v>
      </c>
      <c r="Z300" s="24">
        <f>ROUND(INDEX($C$2:$C$5,MATCH($E300,$B$2:$B$5,0))*$G300/SUMIFS($G:$G,$E:$E,$E300,$B:$B,$B300,Y:Y,1)*IF(B300=$B$10,0.9,1),0)</f>
        <v>4500</v>
      </c>
      <c r="AA300" s="24">
        <f t="shared" si="1249"/>
        <v>1</v>
      </c>
      <c r="AB300" s="24">
        <f>ROUND(INDEX($C$2:$C$5,MATCH($E300,$B$2:$B$5,0))*$H300/SUMIFS($H:$H,$E:$E,$E300,$B:$B,$B300,AA:AA,1)*IF(B300=$B$10,0.9,1),0)</f>
        <v>4500</v>
      </c>
      <c r="AC300" s="24">
        <f t="shared" ref="AC300:AG300" si="1250">IF($L300&lt;=AC$8,1,0)</f>
        <v>1</v>
      </c>
      <c r="AD300" s="24">
        <f>ROUND(INDEX($C$2:$C$5,MATCH($E300,$B$2:$B$5,0))*$F300/SUMIFS($F:$F,$E:$E,$E300,$B:$B,$B300,AC:AC,1)*IF(B300=$B$10,0.9,1),0)</f>
        <v>4500</v>
      </c>
      <c r="AE300" s="24">
        <f t="shared" si="1250"/>
        <v>1</v>
      </c>
      <c r="AF300" s="24">
        <f>ROUND(INDEX($C$2:$C$5,MATCH($E300,$B$2:$B$5,0))*$G300/SUMIFS($G:$G,$E:$E,$E300,$B:$B,$B300,AE:AE,1)*IF(B300=$B$10,0.9,1),0)</f>
        <v>4500</v>
      </c>
      <c r="AG300" s="24">
        <f t="shared" si="1250"/>
        <v>1</v>
      </c>
      <c r="AH300" s="24">
        <f>ROUND(INDEX($C$2:$C$5,MATCH($E300,$B$2:$B$5,0))*$H300/SUMIFS($H:$H,$E:$E,$E300,$B:$B,$B300,AG:AG,1)*IF(B300=$B$10,0.9,1),0)</f>
        <v>4500</v>
      </c>
      <c r="AI300" s="24">
        <f t="shared" ref="AI300:AM300" si="1251">IF($L300&lt;=AI$8,1,0)</f>
        <v>1</v>
      </c>
      <c r="AJ300" s="24">
        <f>ROUND(INDEX($C$2:$C$5,MATCH($E300,$B$2:$B$5,0))*$F300/SUMIFS($F:$F,$E:$E,$E300,$B:$B,$B300,AI:AI,1)*IF(B300=$B$10,0.9,1),0)</f>
        <v>4500</v>
      </c>
      <c r="AK300" s="24">
        <f t="shared" si="1251"/>
        <v>1</v>
      </c>
      <c r="AL300" s="24">
        <f>ROUND(INDEX($C$2:$C$5,MATCH($E300,$B$2:$B$5,0))*$G300/SUMIFS($G:$G,$E:$E,$E300,$B:$B,$B300,AK:AK,1)*IF(B300=$B$10,0.9,1),0)</f>
        <v>4500</v>
      </c>
      <c r="AM300" s="24">
        <f t="shared" si="1251"/>
        <v>1</v>
      </c>
      <c r="AN300" s="24">
        <f>ROUND(INDEX($C$2:$C$5,MATCH($E300,$B$2:$B$5,0))*$H300/SUMIFS($H:$H,$E:$E,$E300,$B:$B,$B300,AM:AM,1)*IF(B300=$B$10,0.9,1),0)</f>
        <v>4500</v>
      </c>
      <c r="AX300" s="4" t="str">
        <f t="shared" si="1101"/>
        <v>1,4500</v>
      </c>
      <c r="AY300" s="4" t="str">
        <f t="shared" si="1102"/>
        <v>1,4500</v>
      </c>
      <c r="AZ300" s="4" t="str">
        <f t="shared" si="1103"/>
        <v>1,4500</v>
      </c>
      <c r="BA300" s="4" t="str">
        <f t="shared" si="1104"/>
        <v>1,4500</v>
      </c>
      <c r="BB300" s="4" t="str">
        <f t="shared" si="1105"/>
        <v>1,4500</v>
      </c>
      <c r="BC300" s="4" t="str">
        <f t="shared" si="1106"/>
        <v>1,4500</v>
      </c>
      <c r="BD300" s="4" t="str">
        <f t="shared" si="1107"/>
        <v>1,4500</v>
      </c>
      <c r="BE300" s="4" t="str">
        <f t="shared" si="1108"/>
        <v>1,4500</v>
      </c>
      <c r="BF300" s="4" t="str">
        <f t="shared" si="1109"/>
        <v>1,4500</v>
      </c>
      <c r="BG300" s="4" t="str">
        <f t="shared" si="1110"/>
        <v>1,4500</v>
      </c>
      <c r="BH300" s="4" t="str">
        <f t="shared" si="1111"/>
        <v>1,4500</v>
      </c>
      <c r="BI300" s="4" t="str">
        <f t="shared" si="1112"/>
        <v>1,4500</v>
      </c>
      <c r="BJ300" s="4" t="str">
        <f t="shared" si="1113"/>
        <v>1,4500</v>
      </c>
    </row>
    <row r="301" customHeight="1" spans="1:62">
      <c r="A301" s="62">
        <f t="shared" si="1179"/>
        <v>1803</v>
      </c>
      <c r="B301" s="74" t="s">
        <v>134</v>
      </c>
      <c r="C301" s="64"/>
      <c r="D301" s="41" t="s">
        <v>361</v>
      </c>
      <c r="E301" s="62">
        <v>1</v>
      </c>
      <c r="F301" s="35">
        <v>1</v>
      </c>
      <c r="G301" s="35">
        <f t="shared" si="1114"/>
        <v>1</v>
      </c>
      <c r="H301" s="35">
        <v>1</v>
      </c>
      <c r="I301" s="35">
        <v>1</v>
      </c>
      <c r="J301" s="35">
        <v>1</v>
      </c>
      <c r="K301" s="35">
        <v>1</v>
      </c>
      <c r="L301" s="35">
        <v>1</v>
      </c>
      <c r="M301" s="35"/>
      <c r="N301">
        <f>INDEX($C$2:$C$5,MATCH(E301,$B$2:$B$5,0))</f>
        <v>13500</v>
      </c>
      <c r="O301" s="35">
        <v>1</v>
      </c>
      <c r="P301" s="24">
        <f>ROUND(INDEX($C$2:$C$5,MATCH($E301,$B$2:$B$5,0))*$F301/SUMIFS($F:$F,$E:$E,$E301,$B:$B,$B301,O:O,1)*IF(B301=$B$10,0.9,1),0)</f>
        <v>4500</v>
      </c>
      <c r="Q301" s="24">
        <f t="shared" ref="Q301:U301" si="1252">IF($L301&lt;=Q$8,1,0)</f>
        <v>1</v>
      </c>
      <c r="R301" s="24">
        <f>ROUND(INDEX($C$2:$C$5,MATCH($E301,$B$2:$B$5,0))*$I301/SUMIFS($I:$I,$E:$E,$E301,$B:$B,$B301,Q:Q,1)*IF(B301=$B$10,0.9,1),0)</f>
        <v>4500</v>
      </c>
      <c r="S301" s="24">
        <f t="shared" si="1252"/>
        <v>1</v>
      </c>
      <c r="T301" s="24">
        <f>ROUND(INDEX($C$2:$C$5,MATCH($E301,$B$2:$B$5,0))*$J301/SUMIFS($J:$J,$E:$E,$E301,$B:$B,$B301,S:S,1)*IF(B301=$B$10,0.9,1),0)</f>
        <v>4500</v>
      </c>
      <c r="U301" s="24">
        <f t="shared" si="1252"/>
        <v>1</v>
      </c>
      <c r="V301" s="24">
        <f>ROUND(INDEX($C$2:$C$5,MATCH($E301,$B$2:$B$5,0))*$K301/SUMIFS($K:$K,$E:$E,$E301,$B:$B,$B301,U:U,1)*IF(B301=$B$10,0.9,1),0)</f>
        <v>4500</v>
      </c>
      <c r="W301" s="24">
        <f t="shared" ref="W301:AA301" si="1253">IF($L301&lt;=W$8,1,0)</f>
        <v>1</v>
      </c>
      <c r="X301" s="24">
        <f>ROUND(INDEX($C$2:$C$5,MATCH($E301,$B$2:$B$5,0))*$F301/SUMIFS($F:$F,$E:$E,$E301,$B:$B,$B301,W:W,1)*IF(B301=$B$10,0.9,1),0)</f>
        <v>4500</v>
      </c>
      <c r="Y301" s="24">
        <f t="shared" si="1253"/>
        <v>1</v>
      </c>
      <c r="Z301" s="24">
        <f>ROUND(INDEX($C$2:$C$5,MATCH($E301,$B$2:$B$5,0))*$G301/SUMIFS($G:$G,$E:$E,$E301,$B:$B,$B301,Y:Y,1)*IF(B301=$B$10,0.9,1),0)</f>
        <v>4500</v>
      </c>
      <c r="AA301" s="24">
        <f t="shared" si="1253"/>
        <v>1</v>
      </c>
      <c r="AB301" s="24">
        <f>ROUND(INDEX($C$2:$C$5,MATCH($E301,$B$2:$B$5,0))*$H301/SUMIFS($H:$H,$E:$E,$E301,$B:$B,$B301,AA:AA,1)*IF(B301=$B$10,0.9,1),0)</f>
        <v>4500</v>
      </c>
      <c r="AC301" s="24">
        <f t="shared" ref="AC301:AG301" si="1254">IF($L301&lt;=AC$8,1,0)</f>
        <v>1</v>
      </c>
      <c r="AD301" s="24">
        <f>ROUND(INDEX($C$2:$C$5,MATCH($E301,$B$2:$B$5,0))*$F301/SUMIFS($F:$F,$E:$E,$E301,$B:$B,$B301,AC:AC,1)*IF(B301=$B$10,0.9,1),0)</f>
        <v>4500</v>
      </c>
      <c r="AE301" s="24">
        <f t="shared" si="1254"/>
        <v>1</v>
      </c>
      <c r="AF301" s="24">
        <f>ROUND(INDEX($C$2:$C$5,MATCH($E301,$B$2:$B$5,0))*$G301/SUMIFS($G:$G,$E:$E,$E301,$B:$B,$B301,AE:AE,1)*IF(B301=$B$10,0.9,1),0)</f>
        <v>4500</v>
      </c>
      <c r="AG301" s="24">
        <f t="shared" si="1254"/>
        <v>1</v>
      </c>
      <c r="AH301" s="24">
        <f>ROUND(INDEX($C$2:$C$5,MATCH($E301,$B$2:$B$5,0))*$H301/SUMIFS($H:$H,$E:$E,$E301,$B:$B,$B301,AG:AG,1)*IF(B301=$B$10,0.9,1),0)</f>
        <v>4500</v>
      </c>
      <c r="AI301" s="24">
        <f t="shared" ref="AI301:AM301" si="1255">IF($L301&lt;=AI$8,1,0)</f>
        <v>1</v>
      </c>
      <c r="AJ301" s="24">
        <f>ROUND(INDEX($C$2:$C$5,MATCH($E301,$B$2:$B$5,0))*$F301/SUMIFS($F:$F,$E:$E,$E301,$B:$B,$B301,AI:AI,1)*IF(B301=$B$10,0.9,1),0)</f>
        <v>4500</v>
      </c>
      <c r="AK301" s="24">
        <f t="shared" si="1255"/>
        <v>1</v>
      </c>
      <c r="AL301" s="24">
        <f>ROUND(INDEX($C$2:$C$5,MATCH($E301,$B$2:$B$5,0))*$G301/SUMIFS($G:$G,$E:$E,$E301,$B:$B,$B301,AK:AK,1)*IF(B301=$B$10,0.9,1),0)</f>
        <v>4500</v>
      </c>
      <c r="AM301" s="24">
        <f t="shared" si="1255"/>
        <v>1</v>
      </c>
      <c r="AN301" s="24">
        <f>ROUND(INDEX($C$2:$C$5,MATCH($E301,$B$2:$B$5,0))*$H301/SUMIFS($H:$H,$E:$E,$E301,$B:$B,$B301,AM:AM,1)*IF(B301=$B$10,0.9,1),0)</f>
        <v>4500</v>
      </c>
      <c r="AX301" s="4" t="str">
        <f t="shared" si="1101"/>
        <v>1,4500</v>
      </c>
      <c r="AY301" s="4" t="str">
        <f t="shared" si="1102"/>
        <v>1,4500</v>
      </c>
      <c r="AZ301" s="4" t="str">
        <f t="shared" si="1103"/>
        <v>1,4500</v>
      </c>
      <c r="BA301" s="4" t="str">
        <f t="shared" si="1104"/>
        <v>1,4500</v>
      </c>
      <c r="BB301" s="4" t="str">
        <f t="shared" si="1105"/>
        <v>1,4500</v>
      </c>
      <c r="BC301" s="4" t="str">
        <f t="shared" si="1106"/>
        <v>1,4500</v>
      </c>
      <c r="BD301" s="4" t="str">
        <f t="shared" si="1107"/>
        <v>1,4500</v>
      </c>
      <c r="BE301" s="4" t="str">
        <f t="shared" si="1108"/>
        <v>1,4500</v>
      </c>
      <c r="BF301" s="4" t="str">
        <f t="shared" si="1109"/>
        <v>1,4500</v>
      </c>
      <c r="BG301" s="4" t="str">
        <f t="shared" si="1110"/>
        <v>1,4500</v>
      </c>
      <c r="BH301" s="4" t="str">
        <f t="shared" si="1111"/>
        <v>1,4500</v>
      </c>
      <c r="BI301" s="4" t="str">
        <f t="shared" si="1112"/>
        <v>1,4500</v>
      </c>
      <c r="BJ301" s="4" t="str">
        <f t="shared" si="1113"/>
        <v>1,4500</v>
      </c>
    </row>
    <row r="302" customHeight="1" spans="1:62">
      <c r="A302" s="62">
        <f t="shared" si="1179"/>
        <v>1811</v>
      </c>
      <c r="B302" s="74" t="s">
        <v>134</v>
      </c>
      <c r="C302" s="64"/>
      <c r="D302" s="44" t="s">
        <v>362</v>
      </c>
      <c r="E302" s="65">
        <v>2</v>
      </c>
      <c r="F302" s="35">
        <v>1</v>
      </c>
      <c r="G302" s="35">
        <f t="shared" si="1114"/>
        <v>1</v>
      </c>
      <c r="H302" s="35">
        <v>1</v>
      </c>
      <c r="I302" s="35">
        <v>1</v>
      </c>
      <c r="J302" s="35">
        <v>1</v>
      </c>
      <c r="K302" s="35">
        <v>1</v>
      </c>
      <c r="L302" s="35">
        <v>1</v>
      </c>
      <c r="M302" s="35"/>
      <c r="N302">
        <f>INDEX($C$2:$C$5,MATCH(E302,$B$2:$B$5,0))</f>
        <v>4500</v>
      </c>
      <c r="O302" s="35">
        <v>1</v>
      </c>
      <c r="P302" s="24">
        <f>ROUND(INDEX($C$2:$C$5,MATCH($E302,$B$2:$B$5,0))*$F302/SUMIFS($F:$F,$E:$E,$E302,$B:$B,$B302,O:O,1)*IF(B302=$B$10,0.9,1),0)</f>
        <v>750</v>
      </c>
      <c r="Q302" s="24">
        <f t="shared" ref="Q302:U302" si="1256">IF($L302&lt;=Q$8,1,0)</f>
        <v>1</v>
      </c>
      <c r="R302" s="24">
        <f>ROUND(INDEX($C$2:$C$5,MATCH($E302,$B$2:$B$5,0))*$I302/SUMIFS($I:$I,$E:$E,$E302,$B:$B,$B302,Q:Q,1)*IF(B302=$B$10,0.9,1),0)</f>
        <v>900</v>
      </c>
      <c r="S302" s="24">
        <f t="shared" si="1256"/>
        <v>1</v>
      </c>
      <c r="T302" s="24">
        <f>ROUND(INDEX($C$2:$C$5,MATCH($E302,$B$2:$B$5,0))*$J302/SUMIFS($J:$J,$E:$E,$E302,$B:$B,$B302,S:S,1)*IF(B302=$B$10,0.9,1),0)</f>
        <v>900</v>
      </c>
      <c r="U302" s="24">
        <f t="shared" si="1256"/>
        <v>1</v>
      </c>
      <c r="V302" s="24">
        <f>ROUND(INDEX($C$2:$C$5,MATCH($E302,$B$2:$B$5,0))*$K302/SUMIFS($K:$K,$E:$E,$E302,$B:$B,$B302,U:U,1)*IF(B302=$B$10,0.9,1),0)</f>
        <v>900</v>
      </c>
      <c r="W302" s="24">
        <f t="shared" ref="W302:AA302" si="1257">IF($L302&lt;=W$8,1,0)</f>
        <v>1</v>
      </c>
      <c r="X302" s="24">
        <f>ROUND(INDEX($C$2:$C$5,MATCH($E302,$B$2:$B$5,0))*$F302/SUMIFS($F:$F,$E:$E,$E302,$B:$B,$B302,W:W,1)*IF(B302=$B$10,0.9,1),0)</f>
        <v>750</v>
      </c>
      <c r="Y302" s="24">
        <f t="shared" si="1257"/>
        <v>1</v>
      </c>
      <c r="Z302" s="24">
        <f>ROUND(INDEX($C$2:$C$5,MATCH($E302,$B$2:$B$5,0))*$G302/SUMIFS($G:$G,$E:$E,$E302,$B:$B,$B302,Y:Y,1)*IF(B302=$B$10,0.9,1),0)</f>
        <v>750</v>
      </c>
      <c r="AA302" s="24">
        <f t="shared" si="1257"/>
        <v>1</v>
      </c>
      <c r="AB302" s="24">
        <f>ROUND(INDEX($C$2:$C$5,MATCH($E302,$B$2:$B$5,0))*$H302/SUMIFS($H:$H,$E:$E,$E302,$B:$B,$B302,AA:AA,1)*IF(B302=$B$10,0.9,1),0)</f>
        <v>750</v>
      </c>
      <c r="AC302" s="24">
        <f t="shared" ref="AC302:AG302" si="1258">IF($L302&lt;=AC$8,1,0)</f>
        <v>1</v>
      </c>
      <c r="AD302" s="24">
        <f>ROUND(INDEX($C$2:$C$5,MATCH($E302,$B$2:$B$5,0))*$F302/SUMIFS($F:$F,$E:$E,$E302,$B:$B,$B302,AC:AC,1)*IF(B302=$B$10,0.9,1),0)</f>
        <v>750</v>
      </c>
      <c r="AE302" s="24">
        <f t="shared" si="1258"/>
        <v>1</v>
      </c>
      <c r="AF302" s="24">
        <f>ROUND(INDEX($C$2:$C$5,MATCH($E302,$B$2:$B$5,0))*$G302/SUMIFS($G:$G,$E:$E,$E302,$B:$B,$B302,AE:AE,1)*IF(B302=$B$10,0.9,1),0)</f>
        <v>750</v>
      </c>
      <c r="AG302" s="24">
        <f t="shared" si="1258"/>
        <v>1</v>
      </c>
      <c r="AH302" s="24">
        <f>ROUND(INDEX($C$2:$C$5,MATCH($E302,$B$2:$B$5,0))*$H302/SUMIFS($H:$H,$E:$E,$E302,$B:$B,$B302,AG:AG,1)*IF(B302=$B$10,0.9,1),0)</f>
        <v>750</v>
      </c>
      <c r="AI302" s="24">
        <f t="shared" ref="AI302:AM302" si="1259">IF($L302&lt;=AI$8,1,0)</f>
        <v>1</v>
      </c>
      <c r="AJ302" s="24">
        <f>ROUND(INDEX($C$2:$C$5,MATCH($E302,$B$2:$B$5,0))*$F302/SUMIFS($F:$F,$E:$E,$E302,$B:$B,$B302,AI:AI,1)*IF(B302=$B$10,0.9,1),0)</f>
        <v>750</v>
      </c>
      <c r="AK302" s="24">
        <f t="shared" si="1259"/>
        <v>1</v>
      </c>
      <c r="AL302" s="24">
        <f>ROUND(INDEX($C$2:$C$5,MATCH($E302,$B$2:$B$5,0))*$G302/SUMIFS($G:$G,$E:$E,$E302,$B:$B,$B302,AK:AK,1)*IF(B302=$B$10,0.9,1),0)</f>
        <v>750</v>
      </c>
      <c r="AM302" s="24">
        <f t="shared" si="1259"/>
        <v>1</v>
      </c>
      <c r="AN302" s="24">
        <f>ROUND(INDEX($C$2:$C$5,MATCH($E302,$B$2:$B$5,0))*$H302/SUMIFS($H:$H,$E:$E,$E302,$B:$B,$B302,AM:AM,1)*IF(B302=$B$10,0.9,1),0)</f>
        <v>750</v>
      </c>
      <c r="AX302" s="4" t="str">
        <f t="shared" si="1101"/>
        <v>1,750</v>
      </c>
      <c r="AY302" s="4" t="str">
        <f t="shared" si="1102"/>
        <v>1,900</v>
      </c>
      <c r="AZ302" s="4" t="str">
        <f t="shared" si="1103"/>
        <v>1,900</v>
      </c>
      <c r="BA302" s="4" t="str">
        <f t="shared" si="1104"/>
        <v>1,900</v>
      </c>
      <c r="BB302" s="4" t="str">
        <f t="shared" si="1105"/>
        <v>1,750</v>
      </c>
      <c r="BC302" s="4" t="str">
        <f t="shared" si="1106"/>
        <v>1,750</v>
      </c>
      <c r="BD302" s="4" t="str">
        <f t="shared" si="1107"/>
        <v>1,750</v>
      </c>
      <c r="BE302" s="4" t="str">
        <f t="shared" si="1108"/>
        <v>1,750</v>
      </c>
      <c r="BF302" s="4" t="str">
        <f t="shared" si="1109"/>
        <v>1,750</v>
      </c>
      <c r="BG302" s="4" t="str">
        <f t="shared" si="1110"/>
        <v>1,750</v>
      </c>
      <c r="BH302" s="4" t="str">
        <f t="shared" si="1111"/>
        <v>1,750</v>
      </c>
      <c r="BI302" s="4" t="str">
        <f t="shared" si="1112"/>
        <v>1,750</v>
      </c>
      <c r="BJ302" s="4" t="str">
        <f t="shared" si="1113"/>
        <v>1,750</v>
      </c>
    </row>
    <row r="303" customHeight="1" spans="1:62">
      <c r="A303" s="62">
        <f t="shared" si="1179"/>
        <v>1812</v>
      </c>
      <c r="B303" s="74" t="s">
        <v>134</v>
      </c>
      <c r="C303" s="64"/>
      <c r="D303" s="44" t="s">
        <v>363</v>
      </c>
      <c r="E303" s="65">
        <v>2</v>
      </c>
      <c r="F303" s="35">
        <v>1</v>
      </c>
      <c r="G303" s="35">
        <f t="shared" si="1114"/>
        <v>1</v>
      </c>
      <c r="H303" s="35">
        <v>1</v>
      </c>
      <c r="I303" s="35">
        <v>1</v>
      </c>
      <c r="J303" s="35">
        <v>1</v>
      </c>
      <c r="K303" s="35">
        <v>1</v>
      </c>
      <c r="L303" s="35">
        <v>1</v>
      </c>
      <c r="M303" s="35" t="s">
        <v>136</v>
      </c>
      <c r="N303">
        <f>INDEX($C$2:$C$5,MATCH(E303,$B$2:$B$5,0))</f>
        <v>4500</v>
      </c>
      <c r="O303" s="35">
        <v>1</v>
      </c>
      <c r="P303" s="24">
        <f>ROUND(INDEX($C$2:$C$5,MATCH($E303,$B$2:$B$5,0))*$F303/SUMIFS($F:$F,$E:$E,$E303,$B:$B,$B303,O:O,1)*IF(B303=$B$10,0.9,1),0)</f>
        <v>750</v>
      </c>
      <c r="Q303" s="24">
        <f t="shared" ref="Q303:U303" si="1260">IF($L303&lt;=Q$8,1,0)</f>
        <v>1</v>
      </c>
      <c r="R303" s="24">
        <f>ROUND(INDEX($C$2:$C$5,MATCH($E303,$B$2:$B$5,0))*$I303/SUMIFS($I:$I,$E:$E,$E303,$B:$B,$B303,Q:Q,1)*IF(B303=$B$10,0.9,1),0)</f>
        <v>900</v>
      </c>
      <c r="S303" s="24">
        <f t="shared" si="1260"/>
        <v>1</v>
      </c>
      <c r="T303" s="24">
        <f>ROUND(INDEX($C$2:$C$5,MATCH($E303,$B$2:$B$5,0))*$J303/SUMIFS($J:$J,$E:$E,$E303,$B:$B,$B303,S:S,1)*IF(B303=$B$10,0.9,1),0)</f>
        <v>900</v>
      </c>
      <c r="U303" s="24">
        <f t="shared" si="1260"/>
        <v>1</v>
      </c>
      <c r="V303" s="24">
        <f>ROUND(INDEX($C$2:$C$5,MATCH($E303,$B$2:$B$5,0))*$K303/SUMIFS($K:$K,$E:$E,$E303,$B:$B,$B303,U:U,1)*IF(B303=$B$10,0.9,1),0)</f>
        <v>900</v>
      </c>
      <c r="W303" s="24">
        <f t="shared" ref="W303:AA303" si="1261">IF($L303&lt;=W$8,1,0)</f>
        <v>1</v>
      </c>
      <c r="X303" s="24">
        <f>ROUND(INDEX($C$2:$C$5,MATCH($E303,$B$2:$B$5,0))*$F303/SUMIFS($F:$F,$E:$E,$E303,$B:$B,$B303,W:W,1)*IF(B303=$B$10,0.9,1),0)</f>
        <v>750</v>
      </c>
      <c r="Y303" s="24">
        <f t="shared" si="1261"/>
        <v>1</v>
      </c>
      <c r="Z303" s="24">
        <f>ROUND(INDEX($C$2:$C$5,MATCH($E303,$B$2:$B$5,0))*$G303/SUMIFS($G:$G,$E:$E,$E303,$B:$B,$B303,Y:Y,1)*IF(B303=$B$10,0.9,1),0)</f>
        <v>750</v>
      </c>
      <c r="AA303" s="24">
        <f t="shared" si="1261"/>
        <v>1</v>
      </c>
      <c r="AB303" s="24">
        <f>ROUND(INDEX($C$2:$C$5,MATCH($E303,$B$2:$B$5,0))*$H303/SUMIFS($H:$H,$E:$E,$E303,$B:$B,$B303,AA:AA,1)*IF(B303=$B$10,0.9,1),0)</f>
        <v>750</v>
      </c>
      <c r="AC303" s="24">
        <f t="shared" ref="AC303:AG303" si="1262">IF($L303&lt;=AC$8,1,0)</f>
        <v>1</v>
      </c>
      <c r="AD303" s="24">
        <f>ROUND(INDEX($C$2:$C$5,MATCH($E303,$B$2:$B$5,0))*$F303/SUMIFS($F:$F,$E:$E,$E303,$B:$B,$B303,AC:AC,1)*IF(B303=$B$10,0.9,1),0)</f>
        <v>750</v>
      </c>
      <c r="AE303" s="24">
        <f t="shared" si="1262"/>
        <v>1</v>
      </c>
      <c r="AF303" s="24">
        <f>ROUND(INDEX($C$2:$C$5,MATCH($E303,$B$2:$B$5,0))*$G303/SUMIFS($G:$G,$E:$E,$E303,$B:$B,$B303,AE:AE,1)*IF(B303=$B$10,0.9,1),0)</f>
        <v>750</v>
      </c>
      <c r="AG303" s="24">
        <f t="shared" si="1262"/>
        <v>1</v>
      </c>
      <c r="AH303" s="24">
        <f>ROUND(INDEX($C$2:$C$5,MATCH($E303,$B$2:$B$5,0))*$H303/SUMIFS($H:$H,$E:$E,$E303,$B:$B,$B303,AG:AG,1)*IF(B303=$B$10,0.9,1),0)</f>
        <v>750</v>
      </c>
      <c r="AI303" s="24">
        <f t="shared" ref="AI303:AM303" si="1263">IF($L303&lt;=AI$8,1,0)</f>
        <v>1</v>
      </c>
      <c r="AJ303" s="24">
        <f>ROUND(INDEX($C$2:$C$5,MATCH($E303,$B$2:$B$5,0))*$F303/SUMIFS($F:$F,$E:$E,$E303,$B:$B,$B303,AI:AI,1)*IF(B303=$B$10,0.9,1),0)</f>
        <v>750</v>
      </c>
      <c r="AK303" s="24">
        <f t="shared" si="1263"/>
        <v>1</v>
      </c>
      <c r="AL303" s="24">
        <f>ROUND(INDEX($C$2:$C$5,MATCH($E303,$B$2:$B$5,0))*$G303/SUMIFS($G:$G,$E:$E,$E303,$B:$B,$B303,AK:AK,1)*IF(B303=$B$10,0.9,1),0)</f>
        <v>750</v>
      </c>
      <c r="AM303" s="24">
        <f t="shared" si="1263"/>
        <v>1</v>
      </c>
      <c r="AN303" s="24">
        <f>ROUND(INDEX($C$2:$C$5,MATCH($E303,$B$2:$B$5,0))*$H303/SUMIFS($H:$H,$E:$E,$E303,$B:$B,$B303,AM:AM,1)*IF(B303=$B$10,0.9,1),0)</f>
        <v>750</v>
      </c>
      <c r="AX303" s="4" t="str">
        <f t="shared" si="1101"/>
        <v>1,750</v>
      </c>
      <c r="AY303" s="4" t="str">
        <f t="shared" si="1102"/>
        <v>1,900</v>
      </c>
      <c r="AZ303" s="4" t="str">
        <f t="shared" si="1103"/>
        <v>1,900</v>
      </c>
      <c r="BA303" s="4" t="str">
        <f t="shared" si="1104"/>
        <v>1,900</v>
      </c>
      <c r="BB303" s="4" t="str">
        <f t="shared" si="1105"/>
        <v>1,750</v>
      </c>
      <c r="BC303" s="4" t="str">
        <f t="shared" si="1106"/>
        <v>1,750</v>
      </c>
      <c r="BD303" s="4" t="str">
        <f t="shared" si="1107"/>
        <v>1,750</v>
      </c>
      <c r="BE303" s="4" t="str">
        <f t="shared" si="1108"/>
        <v>1,750</v>
      </c>
      <c r="BF303" s="4" t="str">
        <f t="shared" si="1109"/>
        <v>1,750</v>
      </c>
      <c r="BG303" s="4" t="str">
        <f t="shared" si="1110"/>
        <v>1,750</v>
      </c>
      <c r="BH303" s="4" t="str">
        <f t="shared" si="1111"/>
        <v>1,750</v>
      </c>
      <c r="BI303" s="4" t="str">
        <f t="shared" si="1112"/>
        <v>1,750</v>
      </c>
      <c r="BJ303" s="4" t="str">
        <f t="shared" si="1113"/>
        <v>1,750</v>
      </c>
    </row>
    <row r="304" customHeight="1" spans="1:62">
      <c r="A304" s="62">
        <f t="shared" si="1179"/>
        <v>1813</v>
      </c>
      <c r="B304" s="74" t="s">
        <v>134</v>
      </c>
      <c r="C304" s="64"/>
      <c r="D304" s="44" t="s">
        <v>364</v>
      </c>
      <c r="E304" s="66">
        <v>2</v>
      </c>
      <c r="F304" s="35">
        <v>1</v>
      </c>
      <c r="G304" s="35">
        <f t="shared" si="1114"/>
        <v>1</v>
      </c>
      <c r="H304" s="35">
        <v>1</v>
      </c>
      <c r="I304" s="35">
        <v>1</v>
      </c>
      <c r="J304" s="35">
        <v>1</v>
      </c>
      <c r="K304" s="35">
        <v>1</v>
      </c>
      <c r="L304" s="35">
        <v>1</v>
      </c>
      <c r="M304" s="35"/>
      <c r="N304">
        <f>INDEX($C$2:$C$5,MATCH(E304,$B$2:$B$5,0))</f>
        <v>4500</v>
      </c>
      <c r="O304" s="35">
        <v>1</v>
      </c>
      <c r="P304" s="24">
        <f>ROUND(INDEX($C$2:$C$5,MATCH($E304,$B$2:$B$5,0))*$F304/SUMIFS($F:$F,$E:$E,$E304,$B:$B,$B304,O:O,1)*IF(B304=$B$10,0.9,1),0)</f>
        <v>750</v>
      </c>
      <c r="Q304" s="24">
        <f t="shared" ref="Q304:U304" si="1264">IF($L304&lt;=Q$8,1,0)</f>
        <v>1</v>
      </c>
      <c r="R304" s="24">
        <f>ROUND(INDEX($C$2:$C$5,MATCH($E304,$B$2:$B$5,0))*$I304/SUMIFS($I:$I,$E:$E,$E304,$B:$B,$B304,Q:Q,1)*IF(B304=$B$10,0.9,1),0)</f>
        <v>900</v>
      </c>
      <c r="S304" s="24">
        <f t="shared" si="1264"/>
        <v>1</v>
      </c>
      <c r="T304" s="24">
        <f>ROUND(INDEX($C$2:$C$5,MATCH($E304,$B$2:$B$5,0))*$J304/SUMIFS($J:$J,$E:$E,$E304,$B:$B,$B304,S:S,1)*IF(B304=$B$10,0.9,1),0)</f>
        <v>900</v>
      </c>
      <c r="U304" s="24">
        <f t="shared" si="1264"/>
        <v>1</v>
      </c>
      <c r="V304" s="24">
        <f>ROUND(INDEX($C$2:$C$5,MATCH($E304,$B$2:$B$5,0))*$K304/SUMIFS($K:$K,$E:$E,$E304,$B:$B,$B304,U:U,1)*IF(B304=$B$10,0.9,1),0)</f>
        <v>900</v>
      </c>
      <c r="W304" s="24">
        <f t="shared" ref="W304:AA304" si="1265">IF($L304&lt;=W$8,1,0)</f>
        <v>1</v>
      </c>
      <c r="X304" s="24">
        <f>ROUND(INDEX($C$2:$C$5,MATCH($E304,$B$2:$B$5,0))*$F304/SUMIFS($F:$F,$E:$E,$E304,$B:$B,$B304,W:W,1)*IF(B304=$B$10,0.9,1),0)</f>
        <v>750</v>
      </c>
      <c r="Y304" s="24">
        <f t="shared" si="1265"/>
        <v>1</v>
      </c>
      <c r="Z304" s="24">
        <f>ROUND(INDEX($C$2:$C$5,MATCH($E304,$B$2:$B$5,0))*$G304/SUMIFS($G:$G,$E:$E,$E304,$B:$B,$B304,Y:Y,1)*IF(B304=$B$10,0.9,1),0)</f>
        <v>750</v>
      </c>
      <c r="AA304" s="24">
        <f t="shared" si="1265"/>
        <v>1</v>
      </c>
      <c r="AB304" s="24">
        <f>ROUND(INDEX($C$2:$C$5,MATCH($E304,$B$2:$B$5,0))*$H304/SUMIFS($H:$H,$E:$E,$E304,$B:$B,$B304,AA:AA,1)*IF(B304=$B$10,0.9,1),0)</f>
        <v>750</v>
      </c>
      <c r="AC304" s="24">
        <f t="shared" ref="AC304:AG304" si="1266">IF($L304&lt;=AC$8,1,0)</f>
        <v>1</v>
      </c>
      <c r="AD304" s="24">
        <f>ROUND(INDEX($C$2:$C$5,MATCH($E304,$B$2:$B$5,0))*$F304/SUMIFS($F:$F,$E:$E,$E304,$B:$B,$B304,AC:AC,1)*IF(B304=$B$10,0.9,1),0)</f>
        <v>750</v>
      </c>
      <c r="AE304" s="24">
        <f t="shared" si="1266"/>
        <v>1</v>
      </c>
      <c r="AF304" s="24">
        <f>ROUND(INDEX($C$2:$C$5,MATCH($E304,$B$2:$B$5,0))*$G304/SUMIFS($G:$G,$E:$E,$E304,$B:$B,$B304,AE:AE,1)*IF(B304=$B$10,0.9,1),0)</f>
        <v>750</v>
      </c>
      <c r="AG304" s="24">
        <f t="shared" si="1266"/>
        <v>1</v>
      </c>
      <c r="AH304" s="24">
        <f>ROUND(INDEX($C$2:$C$5,MATCH($E304,$B$2:$B$5,0))*$H304/SUMIFS($H:$H,$E:$E,$E304,$B:$B,$B304,AG:AG,1)*IF(B304=$B$10,0.9,1),0)</f>
        <v>750</v>
      </c>
      <c r="AI304" s="24">
        <f t="shared" ref="AI304:AM304" si="1267">IF($L304&lt;=AI$8,1,0)</f>
        <v>1</v>
      </c>
      <c r="AJ304" s="24">
        <f>ROUND(INDEX($C$2:$C$5,MATCH($E304,$B$2:$B$5,0))*$F304/SUMIFS($F:$F,$E:$E,$E304,$B:$B,$B304,AI:AI,1)*IF(B304=$B$10,0.9,1),0)</f>
        <v>750</v>
      </c>
      <c r="AK304" s="24">
        <f t="shared" si="1267"/>
        <v>1</v>
      </c>
      <c r="AL304" s="24">
        <f>ROUND(INDEX($C$2:$C$5,MATCH($E304,$B$2:$B$5,0))*$G304/SUMIFS($G:$G,$E:$E,$E304,$B:$B,$B304,AK:AK,1)*IF(B304=$B$10,0.9,1),0)</f>
        <v>750</v>
      </c>
      <c r="AM304" s="24">
        <f t="shared" si="1267"/>
        <v>1</v>
      </c>
      <c r="AN304" s="24">
        <f>ROUND(INDEX($C$2:$C$5,MATCH($E304,$B$2:$B$5,0))*$H304/SUMIFS($H:$H,$E:$E,$E304,$B:$B,$B304,AM:AM,1)*IF(B304=$B$10,0.9,1),0)</f>
        <v>750</v>
      </c>
      <c r="AX304" s="4" t="str">
        <f t="shared" si="1101"/>
        <v>1,750</v>
      </c>
      <c r="AY304" s="4" t="str">
        <f t="shared" si="1102"/>
        <v>1,900</v>
      </c>
      <c r="AZ304" s="4" t="str">
        <f t="shared" si="1103"/>
        <v>1,900</v>
      </c>
      <c r="BA304" s="4" t="str">
        <f t="shared" si="1104"/>
        <v>1,900</v>
      </c>
      <c r="BB304" s="4" t="str">
        <f t="shared" si="1105"/>
        <v>1,750</v>
      </c>
      <c r="BC304" s="4" t="str">
        <f t="shared" si="1106"/>
        <v>1,750</v>
      </c>
      <c r="BD304" s="4" t="str">
        <f t="shared" si="1107"/>
        <v>1,750</v>
      </c>
      <c r="BE304" s="4" t="str">
        <f t="shared" si="1108"/>
        <v>1,750</v>
      </c>
      <c r="BF304" s="4" t="str">
        <f t="shared" si="1109"/>
        <v>1,750</v>
      </c>
      <c r="BG304" s="4" t="str">
        <f t="shared" si="1110"/>
        <v>1,750</v>
      </c>
      <c r="BH304" s="4" t="str">
        <f t="shared" si="1111"/>
        <v>1,750</v>
      </c>
      <c r="BI304" s="4" t="str">
        <f t="shared" si="1112"/>
        <v>1,750</v>
      </c>
      <c r="BJ304" s="4" t="str">
        <f t="shared" si="1113"/>
        <v>1,750</v>
      </c>
    </row>
    <row r="305" customHeight="1" spans="1:62">
      <c r="A305" s="62">
        <f t="shared" si="1179"/>
        <v>1814</v>
      </c>
      <c r="B305" s="74" t="s">
        <v>134</v>
      </c>
      <c r="C305" s="64"/>
      <c r="D305" s="44" t="s">
        <v>365</v>
      </c>
      <c r="E305" s="66">
        <v>2</v>
      </c>
      <c r="F305" s="35">
        <v>1</v>
      </c>
      <c r="G305" s="35">
        <f t="shared" si="1114"/>
        <v>1</v>
      </c>
      <c r="H305" s="35">
        <v>1</v>
      </c>
      <c r="I305" s="35">
        <v>1</v>
      </c>
      <c r="J305" s="35">
        <v>1</v>
      </c>
      <c r="K305" s="35">
        <v>1</v>
      </c>
      <c r="L305" s="35">
        <v>1</v>
      </c>
      <c r="M305" s="35" t="s">
        <v>136</v>
      </c>
      <c r="N305">
        <f>INDEX($C$2:$C$5,MATCH(E305,$B$2:$B$5,0))</f>
        <v>4500</v>
      </c>
      <c r="O305" s="35">
        <v>1</v>
      </c>
      <c r="P305" s="24">
        <f>ROUND(INDEX($C$2:$C$5,MATCH($E305,$B$2:$B$5,0))*$F305/SUMIFS($F:$F,$E:$E,$E305,$B:$B,$B305,O:O,1)*IF(B305=$B$10,0.9,1),0)</f>
        <v>750</v>
      </c>
      <c r="Q305" s="24">
        <f t="shared" ref="Q305:U305" si="1268">IF($L305&lt;=Q$8,1,0)</f>
        <v>1</v>
      </c>
      <c r="R305" s="24">
        <f>ROUND(INDEX($C$2:$C$5,MATCH($E305,$B$2:$B$5,0))*$I305/SUMIFS($I:$I,$E:$E,$E305,$B:$B,$B305,Q:Q,1)*IF(B305=$B$10,0.9,1),0)</f>
        <v>900</v>
      </c>
      <c r="S305" s="24">
        <f t="shared" si="1268"/>
        <v>1</v>
      </c>
      <c r="T305" s="24">
        <f>ROUND(INDEX($C$2:$C$5,MATCH($E305,$B$2:$B$5,0))*$J305/SUMIFS($J:$J,$E:$E,$E305,$B:$B,$B305,S:S,1)*IF(B305=$B$10,0.9,1),0)</f>
        <v>900</v>
      </c>
      <c r="U305" s="24">
        <f t="shared" si="1268"/>
        <v>1</v>
      </c>
      <c r="V305" s="24">
        <f>ROUND(INDEX($C$2:$C$5,MATCH($E305,$B$2:$B$5,0))*$K305/SUMIFS($K:$K,$E:$E,$E305,$B:$B,$B305,U:U,1)*IF(B305=$B$10,0.9,1),0)</f>
        <v>900</v>
      </c>
      <c r="W305" s="24">
        <f t="shared" ref="W305:AA305" si="1269">IF($L305&lt;=W$8,1,0)</f>
        <v>1</v>
      </c>
      <c r="X305" s="24">
        <f>ROUND(INDEX($C$2:$C$5,MATCH($E305,$B$2:$B$5,0))*$F305/SUMIFS($F:$F,$E:$E,$E305,$B:$B,$B305,W:W,1)*IF(B305=$B$10,0.9,1),0)</f>
        <v>750</v>
      </c>
      <c r="Y305" s="24">
        <f t="shared" si="1269"/>
        <v>1</v>
      </c>
      <c r="Z305" s="24">
        <f>ROUND(INDEX($C$2:$C$5,MATCH($E305,$B$2:$B$5,0))*$G305/SUMIFS($G:$G,$E:$E,$E305,$B:$B,$B305,Y:Y,1)*IF(B305=$B$10,0.9,1),0)</f>
        <v>750</v>
      </c>
      <c r="AA305" s="24">
        <f t="shared" si="1269"/>
        <v>1</v>
      </c>
      <c r="AB305" s="24">
        <f>ROUND(INDEX($C$2:$C$5,MATCH($E305,$B$2:$B$5,0))*$H305/SUMIFS($H:$H,$E:$E,$E305,$B:$B,$B305,AA:AA,1)*IF(B305=$B$10,0.9,1),0)</f>
        <v>750</v>
      </c>
      <c r="AC305" s="24">
        <f t="shared" ref="AC305:AG305" si="1270">IF($L305&lt;=AC$8,1,0)</f>
        <v>1</v>
      </c>
      <c r="AD305" s="24">
        <f>ROUND(INDEX($C$2:$C$5,MATCH($E305,$B$2:$B$5,0))*$F305/SUMIFS($F:$F,$E:$E,$E305,$B:$B,$B305,AC:AC,1)*IF(B305=$B$10,0.9,1),0)</f>
        <v>750</v>
      </c>
      <c r="AE305" s="24">
        <f t="shared" si="1270"/>
        <v>1</v>
      </c>
      <c r="AF305" s="24">
        <f>ROUND(INDEX($C$2:$C$5,MATCH($E305,$B$2:$B$5,0))*$G305/SUMIFS($G:$G,$E:$E,$E305,$B:$B,$B305,AE:AE,1)*IF(B305=$B$10,0.9,1),0)</f>
        <v>750</v>
      </c>
      <c r="AG305" s="24">
        <f t="shared" si="1270"/>
        <v>1</v>
      </c>
      <c r="AH305" s="24">
        <f>ROUND(INDEX($C$2:$C$5,MATCH($E305,$B$2:$B$5,0))*$H305/SUMIFS($H:$H,$E:$E,$E305,$B:$B,$B305,AG:AG,1)*IF(B305=$B$10,0.9,1),0)</f>
        <v>750</v>
      </c>
      <c r="AI305" s="24">
        <f t="shared" ref="AI305:AM305" si="1271">IF($L305&lt;=AI$8,1,0)</f>
        <v>1</v>
      </c>
      <c r="AJ305" s="24">
        <f>ROUND(INDEX($C$2:$C$5,MATCH($E305,$B$2:$B$5,0))*$F305/SUMIFS($F:$F,$E:$E,$E305,$B:$B,$B305,AI:AI,1)*IF(B305=$B$10,0.9,1),0)</f>
        <v>750</v>
      </c>
      <c r="AK305" s="24">
        <f t="shared" si="1271"/>
        <v>1</v>
      </c>
      <c r="AL305" s="24">
        <f>ROUND(INDEX($C$2:$C$5,MATCH($E305,$B$2:$B$5,0))*$G305/SUMIFS($G:$G,$E:$E,$E305,$B:$B,$B305,AK:AK,1)*IF(B305=$B$10,0.9,1),0)</f>
        <v>750</v>
      </c>
      <c r="AM305" s="24">
        <f t="shared" si="1271"/>
        <v>1</v>
      </c>
      <c r="AN305" s="24">
        <f>ROUND(INDEX($C$2:$C$5,MATCH($E305,$B$2:$B$5,0))*$H305/SUMIFS($H:$H,$E:$E,$E305,$B:$B,$B305,AM:AM,1)*IF(B305=$B$10,0.9,1),0)</f>
        <v>750</v>
      </c>
      <c r="AX305" s="4" t="str">
        <f t="shared" si="1101"/>
        <v>1,750</v>
      </c>
      <c r="AY305" s="4" t="str">
        <f t="shared" si="1102"/>
        <v>1,900</v>
      </c>
      <c r="AZ305" s="4" t="str">
        <f t="shared" si="1103"/>
        <v>1,900</v>
      </c>
      <c r="BA305" s="4" t="str">
        <f t="shared" si="1104"/>
        <v>1,900</v>
      </c>
      <c r="BB305" s="4" t="str">
        <f t="shared" si="1105"/>
        <v>1,750</v>
      </c>
      <c r="BC305" s="4" t="str">
        <f t="shared" si="1106"/>
        <v>1,750</v>
      </c>
      <c r="BD305" s="4" t="str">
        <f t="shared" si="1107"/>
        <v>1,750</v>
      </c>
      <c r="BE305" s="4" t="str">
        <f t="shared" si="1108"/>
        <v>1,750</v>
      </c>
      <c r="BF305" s="4" t="str">
        <f t="shared" si="1109"/>
        <v>1,750</v>
      </c>
      <c r="BG305" s="4" t="str">
        <f t="shared" si="1110"/>
        <v>1,750</v>
      </c>
      <c r="BH305" s="4" t="str">
        <f t="shared" si="1111"/>
        <v>1,750</v>
      </c>
      <c r="BI305" s="4" t="str">
        <f t="shared" si="1112"/>
        <v>1,750</v>
      </c>
      <c r="BJ305" s="4" t="str">
        <f t="shared" si="1113"/>
        <v>1,750</v>
      </c>
    </row>
    <row r="306" customHeight="1" spans="1:62">
      <c r="A306" s="62">
        <f t="shared" si="1179"/>
        <v>1821</v>
      </c>
      <c r="B306" s="74" t="s">
        <v>134</v>
      </c>
      <c r="C306" s="64" t="s">
        <v>218</v>
      </c>
      <c r="D306" s="46" t="s">
        <v>366</v>
      </c>
      <c r="E306" s="66">
        <v>3</v>
      </c>
      <c r="F306" s="35">
        <v>1</v>
      </c>
      <c r="G306" s="35">
        <f t="shared" si="1114"/>
        <v>1</v>
      </c>
      <c r="H306" s="35">
        <v>1</v>
      </c>
      <c r="I306" s="35">
        <v>1</v>
      </c>
      <c r="J306" s="35">
        <v>1</v>
      </c>
      <c r="K306" s="35">
        <v>1</v>
      </c>
      <c r="L306" s="35">
        <v>1</v>
      </c>
      <c r="M306" s="35" t="s">
        <v>136</v>
      </c>
      <c r="N306">
        <f>INDEX($C$2:$C$5,MATCH(E306,$B$2:$B$5,0))</f>
        <v>1500</v>
      </c>
      <c r="O306" s="35">
        <v>1</v>
      </c>
      <c r="P306" s="24">
        <f>ROUND(INDEX($C$2:$C$5,MATCH($E306,$B$2:$B$5,0))*$F306/SUMIFS($F:$F,$E:$E,$E306,$B:$B,$B306,O:O,1)*IF(B306=$B$10,0.9,1),0)</f>
        <v>250</v>
      </c>
      <c r="Q306" s="24">
        <f t="shared" ref="Q306:U306" si="1272">IF($L306&lt;=Q$8,1,0)</f>
        <v>1</v>
      </c>
      <c r="R306" s="24">
        <f>ROUND(INDEX($C$2:$C$5,MATCH($E306,$B$2:$B$5,0))*$I306/SUMIFS($I:$I,$E:$E,$E306,$B:$B,$B306,Q:Q,1)*IF(B306=$B$10,0.9,1),0)</f>
        <v>300</v>
      </c>
      <c r="S306" s="24">
        <f t="shared" si="1272"/>
        <v>1</v>
      </c>
      <c r="T306" s="24">
        <f>ROUND(INDEX($C$2:$C$5,MATCH($E306,$B$2:$B$5,0))*$J306/SUMIFS($J:$J,$E:$E,$E306,$B:$B,$B306,S:S,1)*IF(B306=$B$10,0.9,1),0)</f>
        <v>300</v>
      </c>
      <c r="U306" s="24">
        <f t="shared" si="1272"/>
        <v>1</v>
      </c>
      <c r="V306" s="24">
        <f>ROUND(INDEX($C$2:$C$5,MATCH($E306,$B$2:$B$5,0))*$K306/SUMIFS($K:$K,$E:$E,$E306,$B:$B,$B306,U:U,1)*IF(B306=$B$10,0.9,1),0)</f>
        <v>300</v>
      </c>
      <c r="W306" s="24">
        <f t="shared" ref="W306:AA306" si="1273">IF($L306&lt;=W$8,1,0)</f>
        <v>1</v>
      </c>
      <c r="X306" s="24">
        <f>ROUND(INDEX($C$2:$C$5,MATCH($E306,$B$2:$B$5,0))*$F306/SUMIFS($F:$F,$E:$E,$E306,$B:$B,$B306,W:W,1)*IF(B306=$B$10,0.9,1),0)</f>
        <v>250</v>
      </c>
      <c r="Y306" s="24">
        <f t="shared" si="1273"/>
        <v>1</v>
      </c>
      <c r="Z306" s="24">
        <f>ROUND(INDEX($C$2:$C$5,MATCH($E306,$B$2:$B$5,0))*$G306/SUMIFS($G:$G,$E:$E,$E306,$B:$B,$B306,Y:Y,1)*IF(B306=$B$10,0.9,1),0)</f>
        <v>250</v>
      </c>
      <c r="AA306" s="24">
        <f t="shared" si="1273"/>
        <v>1</v>
      </c>
      <c r="AB306" s="24">
        <f>ROUND(INDEX($C$2:$C$5,MATCH($E306,$B$2:$B$5,0))*$H306/SUMIFS($H:$H,$E:$E,$E306,$B:$B,$B306,AA:AA,1)*IF(B306=$B$10,0.9,1),0)</f>
        <v>250</v>
      </c>
      <c r="AC306" s="24">
        <f t="shared" ref="AC306:AG306" si="1274">IF($L306&lt;=AC$8,1,0)</f>
        <v>1</v>
      </c>
      <c r="AD306" s="24">
        <f>ROUND(INDEX($C$2:$C$5,MATCH($E306,$B$2:$B$5,0))*$F306/SUMIFS($F:$F,$E:$E,$E306,$B:$B,$B306,AC:AC,1)*IF(B306=$B$10,0.9,1),0)</f>
        <v>250</v>
      </c>
      <c r="AE306" s="24">
        <f t="shared" si="1274"/>
        <v>1</v>
      </c>
      <c r="AF306" s="24">
        <f>ROUND(INDEX($C$2:$C$5,MATCH($E306,$B$2:$B$5,0))*$G306/SUMIFS($G:$G,$E:$E,$E306,$B:$B,$B306,AE:AE,1)*IF(B306=$B$10,0.9,1),0)</f>
        <v>250</v>
      </c>
      <c r="AG306" s="24">
        <f t="shared" si="1274"/>
        <v>1</v>
      </c>
      <c r="AH306" s="24">
        <f>ROUND(INDEX($C$2:$C$5,MATCH($E306,$B$2:$B$5,0))*$H306/SUMIFS($H:$H,$E:$E,$E306,$B:$B,$B306,AG:AG,1)*IF(B306=$B$10,0.9,1),0)</f>
        <v>250</v>
      </c>
      <c r="AI306" s="24">
        <f t="shared" ref="AI306:AM306" si="1275">IF($L306&lt;=AI$8,1,0)</f>
        <v>1</v>
      </c>
      <c r="AJ306" s="24">
        <f>ROUND(INDEX($C$2:$C$5,MATCH($E306,$B$2:$B$5,0))*$F306/SUMIFS($F:$F,$E:$E,$E306,$B:$B,$B306,AI:AI,1)*IF(B306=$B$10,0.9,1),0)</f>
        <v>250</v>
      </c>
      <c r="AK306" s="24">
        <f t="shared" si="1275"/>
        <v>1</v>
      </c>
      <c r="AL306" s="24">
        <f>ROUND(INDEX($C$2:$C$5,MATCH($E306,$B$2:$B$5,0))*$G306/SUMIFS($G:$G,$E:$E,$E306,$B:$B,$B306,AK:AK,1)*IF(B306=$B$10,0.9,1),0)</f>
        <v>250</v>
      </c>
      <c r="AM306" s="24">
        <f t="shared" si="1275"/>
        <v>1</v>
      </c>
      <c r="AN306" s="24">
        <f>ROUND(INDEX($C$2:$C$5,MATCH($E306,$B$2:$B$5,0))*$H306/SUMIFS($H:$H,$E:$E,$E306,$B:$B,$B306,AM:AM,1)*IF(B306=$B$10,0.9,1),0)</f>
        <v>250</v>
      </c>
      <c r="AX306" s="4" t="str">
        <f t="shared" si="1101"/>
        <v>1,250</v>
      </c>
      <c r="AY306" s="4" t="str">
        <f t="shared" si="1102"/>
        <v>1,300</v>
      </c>
      <c r="AZ306" s="4" t="str">
        <f t="shared" si="1103"/>
        <v>1,300</v>
      </c>
      <c r="BA306" s="4" t="str">
        <f t="shared" si="1104"/>
        <v>1,300</v>
      </c>
      <c r="BB306" s="4" t="str">
        <f t="shared" si="1105"/>
        <v>1,250</v>
      </c>
      <c r="BC306" s="4" t="str">
        <f t="shared" si="1106"/>
        <v>1,250</v>
      </c>
      <c r="BD306" s="4" t="str">
        <f t="shared" si="1107"/>
        <v>1,250</v>
      </c>
      <c r="BE306" s="4" t="str">
        <f t="shared" si="1108"/>
        <v>1,250</v>
      </c>
      <c r="BF306" s="4" t="str">
        <f t="shared" si="1109"/>
        <v>1,250</v>
      </c>
      <c r="BG306" s="4" t="str">
        <f t="shared" si="1110"/>
        <v>1,250</v>
      </c>
      <c r="BH306" s="4" t="str">
        <f t="shared" si="1111"/>
        <v>1,250</v>
      </c>
      <c r="BI306" s="4" t="str">
        <f t="shared" si="1112"/>
        <v>1,250</v>
      </c>
      <c r="BJ306" s="4" t="str">
        <f t="shared" si="1113"/>
        <v>1,250</v>
      </c>
    </row>
    <row r="307" customHeight="1" spans="1:62">
      <c r="A307" s="62">
        <f t="shared" si="1179"/>
        <v>1822</v>
      </c>
      <c r="B307" s="74" t="s">
        <v>134</v>
      </c>
      <c r="C307" s="64" t="s">
        <v>218</v>
      </c>
      <c r="D307" s="46" t="s">
        <v>367</v>
      </c>
      <c r="E307" s="66">
        <v>3</v>
      </c>
      <c r="F307" s="35">
        <v>1</v>
      </c>
      <c r="G307" s="35">
        <f t="shared" si="1114"/>
        <v>1</v>
      </c>
      <c r="H307" s="35">
        <v>1</v>
      </c>
      <c r="I307" s="35">
        <v>1</v>
      </c>
      <c r="J307" s="35">
        <v>1</v>
      </c>
      <c r="K307" s="35">
        <v>1</v>
      </c>
      <c r="L307" s="35">
        <v>1</v>
      </c>
      <c r="M307" s="35"/>
      <c r="N307">
        <f>INDEX($C$2:$C$5,MATCH(E307,$B$2:$B$5,0))</f>
        <v>1500</v>
      </c>
      <c r="O307" s="35">
        <v>1</v>
      </c>
      <c r="P307" s="24">
        <f>ROUND(INDEX($C$2:$C$5,MATCH($E307,$B$2:$B$5,0))*$F307/SUMIFS($F:$F,$E:$E,$E307,$B:$B,$B307,O:O,1)*IF(B307=$B$10,0.9,1),0)</f>
        <v>250</v>
      </c>
      <c r="Q307" s="24">
        <f t="shared" ref="Q307:U307" si="1276">IF($L307&lt;=Q$8,1,0)</f>
        <v>1</v>
      </c>
      <c r="R307" s="24">
        <f>ROUND(INDEX($C$2:$C$5,MATCH($E307,$B$2:$B$5,0))*$I307/SUMIFS($I:$I,$E:$E,$E307,$B:$B,$B307,Q:Q,1)*IF(B307=$B$10,0.9,1),0)</f>
        <v>300</v>
      </c>
      <c r="S307" s="24">
        <f t="shared" si="1276"/>
        <v>1</v>
      </c>
      <c r="T307" s="24">
        <f>ROUND(INDEX($C$2:$C$5,MATCH($E307,$B$2:$B$5,0))*$J307/SUMIFS($J:$J,$E:$E,$E307,$B:$B,$B307,S:S,1)*IF(B307=$B$10,0.9,1),0)</f>
        <v>300</v>
      </c>
      <c r="U307" s="24">
        <f t="shared" si="1276"/>
        <v>1</v>
      </c>
      <c r="V307" s="24">
        <f>ROUND(INDEX($C$2:$C$5,MATCH($E307,$B$2:$B$5,0))*$K307/SUMIFS($K:$K,$E:$E,$E307,$B:$B,$B307,U:U,1)*IF(B307=$B$10,0.9,1),0)</f>
        <v>300</v>
      </c>
      <c r="W307" s="24">
        <f t="shared" ref="W307:AA307" si="1277">IF($L307&lt;=W$8,1,0)</f>
        <v>1</v>
      </c>
      <c r="X307" s="24">
        <f>ROUND(INDEX($C$2:$C$5,MATCH($E307,$B$2:$B$5,0))*$F307/SUMIFS($F:$F,$E:$E,$E307,$B:$B,$B307,W:W,1)*IF(B307=$B$10,0.9,1),0)</f>
        <v>250</v>
      </c>
      <c r="Y307" s="24">
        <f t="shared" si="1277"/>
        <v>1</v>
      </c>
      <c r="Z307" s="24">
        <f>ROUND(INDEX($C$2:$C$5,MATCH($E307,$B$2:$B$5,0))*$G307/SUMIFS($G:$G,$E:$E,$E307,$B:$B,$B307,Y:Y,1)*IF(B307=$B$10,0.9,1),0)</f>
        <v>250</v>
      </c>
      <c r="AA307" s="24">
        <f t="shared" si="1277"/>
        <v>1</v>
      </c>
      <c r="AB307" s="24">
        <f>ROUND(INDEX($C$2:$C$5,MATCH($E307,$B$2:$B$5,0))*$H307/SUMIFS($H:$H,$E:$E,$E307,$B:$B,$B307,AA:AA,1)*IF(B307=$B$10,0.9,1),0)</f>
        <v>250</v>
      </c>
      <c r="AC307" s="24">
        <f t="shared" ref="AC307:AG307" si="1278">IF($L307&lt;=AC$8,1,0)</f>
        <v>1</v>
      </c>
      <c r="AD307" s="24">
        <f>ROUND(INDEX($C$2:$C$5,MATCH($E307,$B$2:$B$5,0))*$F307/SUMIFS($F:$F,$E:$E,$E307,$B:$B,$B307,AC:AC,1)*IF(B307=$B$10,0.9,1),0)</f>
        <v>250</v>
      </c>
      <c r="AE307" s="24">
        <f t="shared" si="1278"/>
        <v>1</v>
      </c>
      <c r="AF307" s="24">
        <f>ROUND(INDEX($C$2:$C$5,MATCH($E307,$B$2:$B$5,0))*$G307/SUMIFS($G:$G,$E:$E,$E307,$B:$B,$B307,AE:AE,1)*IF(B307=$B$10,0.9,1),0)</f>
        <v>250</v>
      </c>
      <c r="AG307" s="24">
        <f t="shared" si="1278"/>
        <v>1</v>
      </c>
      <c r="AH307" s="24">
        <f>ROUND(INDEX($C$2:$C$5,MATCH($E307,$B$2:$B$5,0))*$H307/SUMIFS($H:$H,$E:$E,$E307,$B:$B,$B307,AG:AG,1)*IF(B307=$B$10,0.9,1),0)</f>
        <v>250</v>
      </c>
      <c r="AI307" s="24">
        <f t="shared" ref="AI307:AM307" si="1279">IF($L307&lt;=AI$8,1,0)</f>
        <v>1</v>
      </c>
      <c r="AJ307" s="24">
        <f>ROUND(INDEX($C$2:$C$5,MATCH($E307,$B$2:$B$5,0))*$F307/SUMIFS($F:$F,$E:$E,$E307,$B:$B,$B307,AI:AI,1)*IF(B307=$B$10,0.9,1),0)</f>
        <v>250</v>
      </c>
      <c r="AK307" s="24">
        <f t="shared" si="1279"/>
        <v>1</v>
      </c>
      <c r="AL307" s="24">
        <f>ROUND(INDEX($C$2:$C$5,MATCH($E307,$B$2:$B$5,0))*$G307/SUMIFS($G:$G,$E:$E,$E307,$B:$B,$B307,AK:AK,1)*IF(B307=$B$10,0.9,1),0)</f>
        <v>250</v>
      </c>
      <c r="AM307" s="24">
        <f t="shared" si="1279"/>
        <v>1</v>
      </c>
      <c r="AN307" s="24">
        <f>ROUND(INDEX($C$2:$C$5,MATCH($E307,$B$2:$B$5,0))*$H307/SUMIFS($H:$H,$E:$E,$E307,$B:$B,$B307,AM:AM,1)*IF(B307=$B$10,0.9,1),0)</f>
        <v>250</v>
      </c>
      <c r="AX307" s="4" t="str">
        <f t="shared" si="1101"/>
        <v>1,250</v>
      </c>
      <c r="AY307" s="4" t="str">
        <f t="shared" si="1102"/>
        <v>1,300</v>
      </c>
      <c r="AZ307" s="4" t="str">
        <f t="shared" si="1103"/>
        <v>1,300</v>
      </c>
      <c r="BA307" s="4" t="str">
        <f t="shared" si="1104"/>
        <v>1,300</v>
      </c>
      <c r="BB307" s="4" t="str">
        <f t="shared" si="1105"/>
        <v>1,250</v>
      </c>
      <c r="BC307" s="4" t="str">
        <f t="shared" si="1106"/>
        <v>1,250</v>
      </c>
      <c r="BD307" s="4" t="str">
        <f t="shared" si="1107"/>
        <v>1,250</v>
      </c>
      <c r="BE307" s="4" t="str">
        <f t="shared" si="1108"/>
        <v>1,250</v>
      </c>
      <c r="BF307" s="4" t="str">
        <f t="shared" si="1109"/>
        <v>1,250</v>
      </c>
      <c r="BG307" s="4" t="str">
        <f t="shared" si="1110"/>
        <v>1,250</v>
      </c>
      <c r="BH307" s="4" t="str">
        <f t="shared" si="1111"/>
        <v>1,250</v>
      </c>
      <c r="BI307" s="4" t="str">
        <f t="shared" si="1112"/>
        <v>1,250</v>
      </c>
      <c r="BJ307" s="4" t="str">
        <f t="shared" si="1113"/>
        <v>1,250</v>
      </c>
    </row>
    <row r="308" customHeight="1" spans="1:62">
      <c r="A308" s="62">
        <f t="shared" si="1179"/>
        <v>1823</v>
      </c>
      <c r="B308" s="74" t="s">
        <v>134</v>
      </c>
      <c r="C308" s="64" t="s">
        <v>218</v>
      </c>
      <c r="D308" s="46" t="s">
        <v>368</v>
      </c>
      <c r="E308" s="66">
        <v>3</v>
      </c>
      <c r="F308" s="35">
        <v>1</v>
      </c>
      <c r="G308" s="35">
        <f t="shared" si="1114"/>
        <v>1</v>
      </c>
      <c r="H308" s="35">
        <v>1</v>
      </c>
      <c r="I308" s="35">
        <v>1</v>
      </c>
      <c r="J308" s="35">
        <v>1</v>
      </c>
      <c r="K308" s="35">
        <v>1</v>
      </c>
      <c r="L308" s="35">
        <v>1</v>
      </c>
      <c r="M308" s="35"/>
      <c r="N308">
        <f>INDEX($C$2:$C$5,MATCH(E308,$B$2:$B$5,0))</f>
        <v>1500</v>
      </c>
      <c r="O308" s="35">
        <v>1</v>
      </c>
      <c r="P308" s="24">
        <f>ROUND(INDEX($C$2:$C$5,MATCH($E308,$B$2:$B$5,0))*$F308/SUMIFS($F:$F,$E:$E,$E308,$B:$B,$B308,O:O,1)*IF(B308=$B$10,0.9,1),0)</f>
        <v>250</v>
      </c>
      <c r="Q308" s="24">
        <f t="shared" ref="Q308:U308" si="1280">IF($L308&lt;=Q$8,1,0)</f>
        <v>1</v>
      </c>
      <c r="R308" s="24">
        <f>ROUND(INDEX($C$2:$C$5,MATCH($E308,$B$2:$B$5,0))*$I308/SUMIFS($I:$I,$E:$E,$E308,$B:$B,$B308,Q:Q,1)*IF(B308=$B$10,0.9,1),0)</f>
        <v>300</v>
      </c>
      <c r="S308" s="24">
        <f t="shared" si="1280"/>
        <v>1</v>
      </c>
      <c r="T308" s="24">
        <f>ROUND(INDEX($C$2:$C$5,MATCH($E308,$B$2:$B$5,0))*$J308/SUMIFS($J:$J,$E:$E,$E308,$B:$B,$B308,S:S,1)*IF(B308=$B$10,0.9,1),0)</f>
        <v>300</v>
      </c>
      <c r="U308" s="24">
        <f t="shared" si="1280"/>
        <v>1</v>
      </c>
      <c r="V308" s="24">
        <f>ROUND(INDEX($C$2:$C$5,MATCH($E308,$B$2:$B$5,0))*$K308/SUMIFS($K:$K,$E:$E,$E308,$B:$B,$B308,U:U,1)*IF(B308=$B$10,0.9,1),0)</f>
        <v>300</v>
      </c>
      <c r="W308" s="24">
        <f t="shared" ref="W308:AA308" si="1281">IF($L308&lt;=W$8,1,0)</f>
        <v>1</v>
      </c>
      <c r="X308" s="24">
        <f>ROUND(INDEX($C$2:$C$5,MATCH($E308,$B$2:$B$5,0))*$F308/SUMIFS($F:$F,$E:$E,$E308,$B:$B,$B308,W:W,1)*IF(B308=$B$10,0.9,1),0)</f>
        <v>250</v>
      </c>
      <c r="Y308" s="24">
        <f t="shared" si="1281"/>
        <v>1</v>
      </c>
      <c r="Z308" s="24">
        <f>ROUND(INDEX($C$2:$C$5,MATCH($E308,$B$2:$B$5,0))*$G308/SUMIFS($G:$G,$E:$E,$E308,$B:$B,$B308,Y:Y,1)*IF(B308=$B$10,0.9,1),0)</f>
        <v>250</v>
      </c>
      <c r="AA308" s="24">
        <f t="shared" si="1281"/>
        <v>1</v>
      </c>
      <c r="AB308" s="24">
        <f>ROUND(INDEX($C$2:$C$5,MATCH($E308,$B$2:$B$5,0))*$H308/SUMIFS($H:$H,$E:$E,$E308,$B:$B,$B308,AA:AA,1)*IF(B308=$B$10,0.9,1),0)</f>
        <v>250</v>
      </c>
      <c r="AC308" s="24">
        <f t="shared" ref="AC308:AG308" si="1282">IF($L308&lt;=AC$8,1,0)</f>
        <v>1</v>
      </c>
      <c r="AD308" s="24">
        <f>ROUND(INDEX($C$2:$C$5,MATCH($E308,$B$2:$B$5,0))*$F308/SUMIFS($F:$F,$E:$E,$E308,$B:$B,$B308,AC:AC,1)*IF(B308=$B$10,0.9,1),0)</f>
        <v>250</v>
      </c>
      <c r="AE308" s="24">
        <f t="shared" si="1282"/>
        <v>1</v>
      </c>
      <c r="AF308" s="24">
        <f>ROUND(INDEX($C$2:$C$5,MATCH($E308,$B$2:$B$5,0))*$G308/SUMIFS($G:$G,$E:$E,$E308,$B:$B,$B308,AE:AE,1)*IF(B308=$B$10,0.9,1),0)</f>
        <v>250</v>
      </c>
      <c r="AG308" s="24">
        <f t="shared" si="1282"/>
        <v>1</v>
      </c>
      <c r="AH308" s="24">
        <f>ROUND(INDEX($C$2:$C$5,MATCH($E308,$B$2:$B$5,0))*$H308/SUMIFS($H:$H,$E:$E,$E308,$B:$B,$B308,AG:AG,1)*IF(B308=$B$10,0.9,1),0)</f>
        <v>250</v>
      </c>
      <c r="AI308" s="24">
        <f t="shared" ref="AI308:AM308" si="1283">IF($L308&lt;=AI$8,1,0)</f>
        <v>1</v>
      </c>
      <c r="AJ308" s="24">
        <f>ROUND(INDEX($C$2:$C$5,MATCH($E308,$B$2:$B$5,0))*$F308/SUMIFS($F:$F,$E:$E,$E308,$B:$B,$B308,AI:AI,1)*IF(B308=$B$10,0.9,1),0)</f>
        <v>250</v>
      </c>
      <c r="AK308" s="24">
        <f t="shared" si="1283"/>
        <v>1</v>
      </c>
      <c r="AL308" s="24">
        <f>ROUND(INDEX($C$2:$C$5,MATCH($E308,$B$2:$B$5,0))*$G308/SUMIFS($G:$G,$E:$E,$E308,$B:$B,$B308,AK:AK,1)*IF(B308=$B$10,0.9,1),0)</f>
        <v>250</v>
      </c>
      <c r="AM308" s="24">
        <f t="shared" si="1283"/>
        <v>1</v>
      </c>
      <c r="AN308" s="24">
        <f>ROUND(INDEX($C$2:$C$5,MATCH($E308,$B$2:$B$5,0))*$H308/SUMIFS($H:$H,$E:$E,$E308,$B:$B,$B308,AM:AM,1)*IF(B308=$B$10,0.9,1),0)</f>
        <v>250</v>
      </c>
      <c r="AX308" s="4" t="str">
        <f t="shared" si="1101"/>
        <v>1,250</v>
      </c>
      <c r="AY308" s="4" t="str">
        <f t="shared" si="1102"/>
        <v>1,300</v>
      </c>
      <c r="AZ308" s="4" t="str">
        <f t="shared" si="1103"/>
        <v>1,300</v>
      </c>
      <c r="BA308" s="4" t="str">
        <f t="shared" si="1104"/>
        <v>1,300</v>
      </c>
      <c r="BB308" s="4" t="str">
        <f t="shared" si="1105"/>
        <v>1,250</v>
      </c>
      <c r="BC308" s="4" t="str">
        <f t="shared" si="1106"/>
        <v>1,250</v>
      </c>
      <c r="BD308" s="4" t="str">
        <f t="shared" si="1107"/>
        <v>1,250</v>
      </c>
      <c r="BE308" s="4" t="str">
        <f t="shared" si="1108"/>
        <v>1,250</v>
      </c>
      <c r="BF308" s="4" t="str">
        <f t="shared" si="1109"/>
        <v>1,250</v>
      </c>
      <c r="BG308" s="4" t="str">
        <f t="shared" si="1110"/>
        <v>1,250</v>
      </c>
      <c r="BH308" s="4" t="str">
        <f t="shared" si="1111"/>
        <v>1,250</v>
      </c>
      <c r="BI308" s="4" t="str">
        <f t="shared" si="1112"/>
        <v>1,250</v>
      </c>
      <c r="BJ308" s="4" t="str">
        <f t="shared" si="1113"/>
        <v>1,250</v>
      </c>
    </row>
    <row r="309" customHeight="1" spans="1:62">
      <c r="A309" s="62">
        <f t="shared" si="1179"/>
        <v>1824</v>
      </c>
      <c r="B309" s="74" t="s">
        <v>134</v>
      </c>
      <c r="C309" s="64" t="s">
        <v>218</v>
      </c>
      <c r="D309" s="46" t="s">
        <v>369</v>
      </c>
      <c r="E309" s="66">
        <v>3</v>
      </c>
      <c r="F309" s="35">
        <v>1</v>
      </c>
      <c r="G309" s="35">
        <f t="shared" si="1114"/>
        <v>1</v>
      </c>
      <c r="H309" s="35">
        <v>1</v>
      </c>
      <c r="I309" s="35">
        <v>1</v>
      </c>
      <c r="J309" s="35">
        <v>1</v>
      </c>
      <c r="K309" s="35">
        <v>1</v>
      </c>
      <c r="L309" s="35">
        <v>1</v>
      </c>
      <c r="M309" s="35"/>
      <c r="N309">
        <f>INDEX($C$2:$C$5,MATCH(E309,$B$2:$B$5,0))</f>
        <v>1500</v>
      </c>
      <c r="O309" s="35">
        <v>1</v>
      </c>
      <c r="P309" s="24">
        <f>ROUND(INDEX($C$2:$C$5,MATCH($E309,$B$2:$B$5,0))*$F309/SUMIFS($F:$F,$E:$E,$E309,$B:$B,$B309,O:O,1)*IF(B309=$B$10,0.9,1),0)</f>
        <v>250</v>
      </c>
      <c r="Q309" s="24">
        <f t="shared" ref="Q309:U309" si="1284">IF($L309&lt;=Q$8,1,0)</f>
        <v>1</v>
      </c>
      <c r="R309" s="24">
        <f>ROUND(INDEX($C$2:$C$5,MATCH($E309,$B$2:$B$5,0))*$I309/SUMIFS($I:$I,$E:$E,$E309,$B:$B,$B309,Q:Q,1)*IF(B309=$B$10,0.9,1),0)</f>
        <v>300</v>
      </c>
      <c r="S309" s="24">
        <f t="shared" si="1284"/>
        <v>1</v>
      </c>
      <c r="T309" s="24">
        <f>ROUND(INDEX($C$2:$C$5,MATCH($E309,$B$2:$B$5,0))*$J309/SUMIFS($J:$J,$E:$E,$E309,$B:$B,$B309,S:S,1)*IF(B309=$B$10,0.9,1),0)</f>
        <v>300</v>
      </c>
      <c r="U309" s="24">
        <f t="shared" si="1284"/>
        <v>1</v>
      </c>
      <c r="V309" s="24">
        <f>ROUND(INDEX($C$2:$C$5,MATCH($E309,$B$2:$B$5,0))*$K309/SUMIFS($K:$K,$E:$E,$E309,$B:$B,$B309,U:U,1)*IF(B309=$B$10,0.9,1),0)</f>
        <v>300</v>
      </c>
      <c r="W309" s="24">
        <f t="shared" ref="W309:AA309" si="1285">IF($L309&lt;=W$8,1,0)</f>
        <v>1</v>
      </c>
      <c r="X309" s="24">
        <f>ROUND(INDEX($C$2:$C$5,MATCH($E309,$B$2:$B$5,0))*$F309/SUMIFS($F:$F,$E:$E,$E309,$B:$B,$B309,W:W,1)*IF(B309=$B$10,0.9,1),0)</f>
        <v>250</v>
      </c>
      <c r="Y309" s="24">
        <f t="shared" si="1285"/>
        <v>1</v>
      </c>
      <c r="Z309" s="24">
        <f>ROUND(INDEX($C$2:$C$5,MATCH($E309,$B$2:$B$5,0))*$G309/SUMIFS($G:$G,$E:$E,$E309,$B:$B,$B309,Y:Y,1)*IF(B309=$B$10,0.9,1),0)</f>
        <v>250</v>
      </c>
      <c r="AA309" s="24">
        <f t="shared" si="1285"/>
        <v>1</v>
      </c>
      <c r="AB309" s="24">
        <f>ROUND(INDEX($C$2:$C$5,MATCH($E309,$B$2:$B$5,0))*$H309/SUMIFS($H:$H,$E:$E,$E309,$B:$B,$B309,AA:AA,1)*IF(B309=$B$10,0.9,1),0)</f>
        <v>250</v>
      </c>
      <c r="AC309" s="24">
        <f t="shared" ref="AC309:AG309" si="1286">IF($L309&lt;=AC$8,1,0)</f>
        <v>1</v>
      </c>
      <c r="AD309" s="24">
        <f>ROUND(INDEX($C$2:$C$5,MATCH($E309,$B$2:$B$5,0))*$F309/SUMIFS($F:$F,$E:$E,$E309,$B:$B,$B309,AC:AC,1)*IF(B309=$B$10,0.9,1),0)</f>
        <v>250</v>
      </c>
      <c r="AE309" s="24">
        <f t="shared" si="1286"/>
        <v>1</v>
      </c>
      <c r="AF309" s="24">
        <f>ROUND(INDEX($C$2:$C$5,MATCH($E309,$B$2:$B$5,0))*$G309/SUMIFS($G:$G,$E:$E,$E309,$B:$B,$B309,AE:AE,1)*IF(B309=$B$10,0.9,1),0)</f>
        <v>250</v>
      </c>
      <c r="AG309" s="24">
        <f t="shared" si="1286"/>
        <v>1</v>
      </c>
      <c r="AH309" s="24">
        <f>ROUND(INDEX($C$2:$C$5,MATCH($E309,$B$2:$B$5,0))*$H309/SUMIFS($H:$H,$E:$E,$E309,$B:$B,$B309,AG:AG,1)*IF(B309=$B$10,0.9,1),0)</f>
        <v>250</v>
      </c>
      <c r="AI309" s="24">
        <f t="shared" ref="AI309:AM309" si="1287">IF($L309&lt;=AI$8,1,0)</f>
        <v>1</v>
      </c>
      <c r="AJ309" s="24">
        <f>ROUND(INDEX($C$2:$C$5,MATCH($E309,$B$2:$B$5,0))*$F309/SUMIFS($F:$F,$E:$E,$E309,$B:$B,$B309,AI:AI,1)*IF(B309=$B$10,0.9,1),0)</f>
        <v>250</v>
      </c>
      <c r="AK309" s="24">
        <f t="shared" si="1287"/>
        <v>1</v>
      </c>
      <c r="AL309" s="24">
        <f>ROUND(INDEX($C$2:$C$5,MATCH($E309,$B$2:$B$5,0))*$G309/SUMIFS($G:$G,$E:$E,$E309,$B:$B,$B309,AK:AK,1)*IF(B309=$B$10,0.9,1),0)</f>
        <v>250</v>
      </c>
      <c r="AM309" s="24">
        <f t="shared" si="1287"/>
        <v>1</v>
      </c>
      <c r="AN309" s="24">
        <f>ROUND(INDEX($C$2:$C$5,MATCH($E309,$B$2:$B$5,0))*$H309/SUMIFS($H:$H,$E:$E,$E309,$B:$B,$B309,AM:AM,1)*IF(B309=$B$10,0.9,1),0)</f>
        <v>250</v>
      </c>
      <c r="AX309" s="4" t="str">
        <f t="shared" si="1101"/>
        <v>1,250</v>
      </c>
      <c r="AY309" s="4" t="str">
        <f t="shared" si="1102"/>
        <v>1,300</v>
      </c>
      <c r="AZ309" s="4" t="str">
        <f t="shared" si="1103"/>
        <v>1,300</v>
      </c>
      <c r="BA309" s="4" t="str">
        <f t="shared" si="1104"/>
        <v>1,300</v>
      </c>
      <c r="BB309" s="4" t="str">
        <f t="shared" si="1105"/>
        <v>1,250</v>
      </c>
      <c r="BC309" s="4" t="str">
        <f t="shared" si="1106"/>
        <v>1,250</v>
      </c>
      <c r="BD309" s="4" t="str">
        <f t="shared" si="1107"/>
        <v>1,250</v>
      </c>
      <c r="BE309" s="4" t="str">
        <f t="shared" si="1108"/>
        <v>1,250</v>
      </c>
      <c r="BF309" s="4" t="str">
        <f t="shared" si="1109"/>
        <v>1,250</v>
      </c>
      <c r="BG309" s="4" t="str">
        <f t="shared" si="1110"/>
        <v>1,250</v>
      </c>
      <c r="BH309" s="4" t="str">
        <f t="shared" si="1111"/>
        <v>1,250</v>
      </c>
      <c r="BI309" s="4" t="str">
        <f t="shared" si="1112"/>
        <v>1,250</v>
      </c>
      <c r="BJ309" s="4" t="str">
        <f t="shared" si="1113"/>
        <v>1,250</v>
      </c>
    </row>
    <row r="310" customHeight="1" spans="1:62">
      <c r="A310" s="62">
        <f t="shared" si="1179"/>
        <v>1831</v>
      </c>
      <c r="B310" s="74" t="s">
        <v>134</v>
      </c>
      <c r="C310" s="64" t="s">
        <v>218</v>
      </c>
      <c r="D310" s="44" t="s">
        <v>42</v>
      </c>
      <c r="E310" s="67">
        <v>2</v>
      </c>
      <c r="F310" s="35">
        <v>1</v>
      </c>
      <c r="G310" s="35">
        <f t="shared" si="1114"/>
        <v>1</v>
      </c>
      <c r="H310" s="35">
        <v>1</v>
      </c>
      <c r="I310" s="35">
        <v>1</v>
      </c>
      <c r="J310" s="35">
        <v>1</v>
      </c>
      <c r="K310" s="35">
        <v>1</v>
      </c>
      <c r="L310" s="35">
        <v>2</v>
      </c>
      <c r="M310" s="35"/>
      <c r="N310">
        <f>INDEX($C$2:$C$5,MATCH(E310,$B$2:$B$5,0))</f>
        <v>4500</v>
      </c>
      <c r="O310" s="35">
        <v>1</v>
      </c>
      <c r="P310" s="24">
        <f>ROUND(INDEX($C$2:$C$5,MATCH($E310,$B$2:$B$5,0))*$F310/SUMIFS($F:$F,$E:$E,$E310,$B:$B,$B310,O:O,1)*IF(B310=$B$10,0.9,1),0)</f>
        <v>750</v>
      </c>
      <c r="Q310" s="24">
        <f t="shared" ref="Q310:U310" si="1288">IF($L310&lt;=Q$8,1,0)</f>
        <v>0</v>
      </c>
      <c r="R310" s="24">
        <f>ROUND(INDEX($C$2:$C$5,MATCH($E310,$B$2:$B$5,0))*$I310/SUMIFS($I:$I,$E:$E,$E310,$B:$B,$B310,Q:Q,1)*IF(B310=$B$10,0.9,1),0)</f>
        <v>900</v>
      </c>
      <c r="S310" s="24">
        <f t="shared" si="1288"/>
        <v>0</v>
      </c>
      <c r="T310" s="24">
        <f>ROUND(INDEX($C$2:$C$5,MATCH($E310,$B$2:$B$5,0))*$J310/SUMIFS($J:$J,$E:$E,$E310,$B:$B,$B310,S:S,1)*IF(B310=$B$10,0.9,1),0)</f>
        <v>900</v>
      </c>
      <c r="U310" s="24">
        <f t="shared" si="1288"/>
        <v>0</v>
      </c>
      <c r="V310" s="24">
        <f>ROUND(INDEX($C$2:$C$5,MATCH($E310,$B$2:$B$5,0))*$K310/SUMIFS($K:$K,$E:$E,$E310,$B:$B,$B310,U:U,1)*IF(B310=$B$10,0.9,1),0)</f>
        <v>900</v>
      </c>
      <c r="W310" s="24">
        <f t="shared" ref="W310:AA310" si="1289">IF($L310&lt;=W$8,1,0)</f>
        <v>1</v>
      </c>
      <c r="X310" s="24">
        <f>ROUND(INDEX($C$2:$C$5,MATCH($E310,$B$2:$B$5,0))*$F310/SUMIFS($F:$F,$E:$E,$E310,$B:$B,$B310,W:W,1)*IF(B310=$B$10,0.9,1),0)</f>
        <v>750</v>
      </c>
      <c r="Y310" s="24">
        <f t="shared" si="1289"/>
        <v>1</v>
      </c>
      <c r="Z310" s="24">
        <f>ROUND(INDEX($C$2:$C$5,MATCH($E310,$B$2:$B$5,0))*$G310/SUMIFS($G:$G,$E:$E,$E310,$B:$B,$B310,Y:Y,1)*IF(B310=$B$10,0.9,1),0)</f>
        <v>750</v>
      </c>
      <c r="AA310" s="24">
        <f t="shared" si="1289"/>
        <v>1</v>
      </c>
      <c r="AB310" s="24">
        <f>ROUND(INDEX($C$2:$C$5,MATCH($E310,$B$2:$B$5,0))*$H310/SUMIFS($H:$H,$E:$E,$E310,$B:$B,$B310,AA:AA,1)*IF(B310=$B$10,0.9,1),0)</f>
        <v>750</v>
      </c>
      <c r="AC310" s="24">
        <f t="shared" ref="AC310:AG310" si="1290">IF($L310&lt;=AC$8,1,0)</f>
        <v>1</v>
      </c>
      <c r="AD310" s="24">
        <f>ROUND(INDEX($C$2:$C$5,MATCH($E310,$B$2:$B$5,0))*$F310/SUMIFS($F:$F,$E:$E,$E310,$B:$B,$B310,AC:AC,1)*IF(B310=$B$10,0.9,1),0)</f>
        <v>750</v>
      </c>
      <c r="AE310" s="24">
        <f t="shared" si="1290"/>
        <v>1</v>
      </c>
      <c r="AF310" s="24">
        <f>ROUND(INDEX($C$2:$C$5,MATCH($E310,$B$2:$B$5,0))*$G310/SUMIFS($G:$G,$E:$E,$E310,$B:$B,$B310,AE:AE,1)*IF(B310=$B$10,0.9,1),0)</f>
        <v>750</v>
      </c>
      <c r="AG310" s="24">
        <f t="shared" si="1290"/>
        <v>1</v>
      </c>
      <c r="AH310" s="24">
        <f>ROUND(INDEX($C$2:$C$5,MATCH($E310,$B$2:$B$5,0))*$H310/SUMIFS($H:$H,$E:$E,$E310,$B:$B,$B310,AG:AG,1)*IF(B310=$B$10,0.9,1),0)</f>
        <v>750</v>
      </c>
      <c r="AI310" s="24">
        <f t="shared" ref="AI310:AM310" si="1291">IF($L310&lt;=AI$8,1,0)</f>
        <v>1</v>
      </c>
      <c r="AJ310" s="24">
        <f>ROUND(INDEX($C$2:$C$5,MATCH($E310,$B$2:$B$5,0))*$F310/SUMIFS($F:$F,$E:$E,$E310,$B:$B,$B310,AI:AI,1)*IF(B310=$B$10,0.9,1),0)</f>
        <v>750</v>
      </c>
      <c r="AK310" s="24">
        <f t="shared" si="1291"/>
        <v>1</v>
      </c>
      <c r="AL310" s="24">
        <f>ROUND(INDEX($C$2:$C$5,MATCH($E310,$B$2:$B$5,0))*$G310/SUMIFS($G:$G,$E:$E,$E310,$B:$B,$B310,AK:AK,1)*IF(B310=$B$10,0.9,1),0)</f>
        <v>750</v>
      </c>
      <c r="AM310" s="24">
        <f t="shared" si="1291"/>
        <v>1</v>
      </c>
      <c r="AN310" s="24">
        <f>ROUND(INDEX($C$2:$C$5,MATCH($E310,$B$2:$B$5,0))*$H310/SUMIFS($H:$H,$E:$E,$E310,$B:$B,$B310,AM:AM,1)*IF(B310=$B$10,0.9,1),0)</f>
        <v>750</v>
      </c>
      <c r="AX310" s="4" t="str">
        <f t="shared" si="1101"/>
        <v>1,750</v>
      </c>
      <c r="AY310" s="4" t="str">
        <f t="shared" si="1102"/>
        <v>0,900</v>
      </c>
      <c r="AZ310" s="4" t="str">
        <f t="shared" si="1103"/>
        <v>0,900</v>
      </c>
      <c r="BA310" s="4" t="str">
        <f t="shared" si="1104"/>
        <v>0,900</v>
      </c>
      <c r="BB310" s="4" t="str">
        <f t="shared" si="1105"/>
        <v>1,750</v>
      </c>
      <c r="BC310" s="4" t="str">
        <f t="shared" si="1106"/>
        <v>1,750</v>
      </c>
      <c r="BD310" s="4" t="str">
        <f t="shared" si="1107"/>
        <v>1,750</v>
      </c>
      <c r="BE310" s="4" t="str">
        <f t="shared" si="1108"/>
        <v>1,750</v>
      </c>
      <c r="BF310" s="4" t="str">
        <f t="shared" si="1109"/>
        <v>1,750</v>
      </c>
      <c r="BG310" s="4" t="str">
        <f t="shared" si="1110"/>
        <v>1,750</v>
      </c>
      <c r="BH310" s="4" t="str">
        <f t="shared" si="1111"/>
        <v>1,750</v>
      </c>
      <c r="BI310" s="4" t="str">
        <f t="shared" si="1112"/>
        <v>1,750</v>
      </c>
      <c r="BJ310" s="4" t="str">
        <f t="shared" si="1113"/>
        <v>1,750</v>
      </c>
    </row>
    <row r="311" customHeight="1" spans="1:62">
      <c r="A311" s="62">
        <f t="shared" si="1179"/>
        <v>1832</v>
      </c>
      <c r="B311" s="74" t="s">
        <v>134</v>
      </c>
      <c r="C311" s="64" t="s">
        <v>218</v>
      </c>
      <c r="D311" s="44" t="s">
        <v>136</v>
      </c>
      <c r="E311" s="67">
        <v>2</v>
      </c>
      <c r="F311" s="35">
        <v>1</v>
      </c>
      <c r="G311" s="35">
        <f t="shared" si="1114"/>
        <v>1</v>
      </c>
      <c r="H311" s="35">
        <v>1</v>
      </c>
      <c r="I311" s="35">
        <v>1</v>
      </c>
      <c r="J311" s="35">
        <v>1</v>
      </c>
      <c r="K311" s="35">
        <v>1</v>
      </c>
      <c r="L311" s="35">
        <v>1</v>
      </c>
      <c r="M311" s="35"/>
      <c r="N311">
        <f>INDEX($C$2:$C$5,MATCH(E311,$B$2:$B$5,0))</f>
        <v>4500</v>
      </c>
      <c r="O311" s="35">
        <v>1</v>
      </c>
      <c r="P311" s="24">
        <f>ROUND(INDEX($C$2:$C$5,MATCH($E311,$B$2:$B$5,0))*$F311/SUMIFS($F:$F,$E:$E,$E311,$B:$B,$B311,O:O,1)*IF(B311=$B$10,0.9,1),0)</f>
        <v>750</v>
      </c>
      <c r="Q311" s="24">
        <f t="shared" ref="Q311:U311" si="1292">IF($L311&lt;=Q$8,1,0)</f>
        <v>1</v>
      </c>
      <c r="R311" s="24">
        <f>ROUND(INDEX($C$2:$C$5,MATCH($E311,$B$2:$B$5,0))*$I311/SUMIFS($I:$I,$E:$E,$E311,$B:$B,$B311,Q:Q,1)*IF(B311=$B$10,0.9,1),0)</f>
        <v>900</v>
      </c>
      <c r="S311" s="24">
        <f t="shared" si="1292"/>
        <v>1</v>
      </c>
      <c r="T311" s="24">
        <f>ROUND(INDEX($C$2:$C$5,MATCH($E311,$B$2:$B$5,0))*$J311/SUMIFS($J:$J,$E:$E,$E311,$B:$B,$B311,S:S,1)*IF(B311=$B$10,0.9,1),0)</f>
        <v>900</v>
      </c>
      <c r="U311" s="24">
        <f t="shared" si="1292"/>
        <v>1</v>
      </c>
      <c r="V311" s="24">
        <f>ROUND(INDEX($C$2:$C$5,MATCH($E311,$B$2:$B$5,0))*$K311/SUMIFS($K:$K,$E:$E,$E311,$B:$B,$B311,U:U,1)*IF(B311=$B$10,0.9,1),0)</f>
        <v>900</v>
      </c>
      <c r="W311" s="24">
        <f t="shared" ref="W311:AA311" si="1293">IF($L311&lt;=W$8,1,0)</f>
        <v>1</v>
      </c>
      <c r="X311" s="24">
        <f>ROUND(INDEX($C$2:$C$5,MATCH($E311,$B$2:$B$5,0))*$F311/SUMIFS($F:$F,$E:$E,$E311,$B:$B,$B311,W:W,1)*IF(B311=$B$10,0.9,1),0)</f>
        <v>750</v>
      </c>
      <c r="Y311" s="24">
        <f t="shared" si="1293"/>
        <v>1</v>
      </c>
      <c r="Z311" s="24">
        <f>ROUND(INDEX($C$2:$C$5,MATCH($E311,$B$2:$B$5,0))*$G311/SUMIFS($G:$G,$E:$E,$E311,$B:$B,$B311,Y:Y,1)*IF(B311=$B$10,0.9,1),0)</f>
        <v>750</v>
      </c>
      <c r="AA311" s="24">
        <f t="shared" si="1293"/>
        <v>1</v>
      </c>
      <c r="AB311" s="24">
        <f>ROUND(INDEX($C$2:$C$5,MATCH($E311,$B$2:$B$5,0))*$H311/SUMIFS($H:$H,$E:$E,$E311,$B:$B,$B311,AA:AA,1)*IF(B311=$B$10,0.9,1),0)</f>
        <v>750</v>
      </c>
      <c r="AC311" s="24">
        <f t="shared" ref="AC311:AG311" si="1294">IF($L311&lt;=AC$8,1,0)</f>
        <v>1</v>
      </c>
      <c r="AD311" s="24">
        <f>ROUND(INDEX($C$2:$C$5,MATCH($E311,$B$2:$B$5,0))*$F311/SUMIFS($F:$F,$E:$E,$E311,$B:$B,$B311,AC:AC,1)*IF(B311=$B$10,0.9,1),0)</f>
        <v>750</v>
      </c>
      <c r="AE311" s="24">
        <f t="shared" si="1294"/>
        <v>1</v>
      </c>
      <c r="AF311" s="24">
        <f>ROUND(INDEX($C$2:$C$5,MATCH($E311,$B$2:$B$5,0))*$G311/SUMIFS($G:$G,$E:$E,$E311,$B:$B,$B311,AE:AE,1)*IF(B311=$B$10,0.9,1),0)</f>
        <v>750</v>
      </c>
      <c r="AG311" s="24">
        <f t="shared" si="1294"/>
        <v>1</v>
      </c>
      <c r="AH311" s="24">
        <f>ROUND(INDEX($C$2:$C$5,MATCH($E311,$B$2:$B$5,0))*$H311/SUMIFS($H:$H,$E:$E,$E311,$B:$B,$B311,AG:AG,1)*IF(B311=$B$10,0.9,1),0)</f>
        <v>750</v>
      </c>
      <c r="AI311" s="24">
        <f t="shared" ref="AI311:AM311" si="1295">IF($L311&lt;=AI$8,1,0)</f>
        <v>1</v>
      </c>
      <c r="AJ311" s="24">
        <f>ROUND(INDEX($C$2:$C$5,MATCH($E311,$B$2:$B$5,0))*$F311/SUMIFS($F:$F,$E:$E,$E311,$B:$B,$B311,AI:AI,1)*IF(B311=$B$10,0.9,1),0)</f>
        <v>750</v>
      </c>
      <c r="AK311" s="24">
        <f t="shared" si="1295"/>
        <v>1</v>
      </c>
      <c r="AL311" s="24">
        <f>ROUND(INDEX($C$2:$C$5,MATCH($E311,$B$2:$B$5,0))*$G311/SUMIFS($G:$G,$E:$E,$E311,$B:$B,$B311,AK:AK,1)*IF(B311=$B$10,0.9,1),0)</f>
        <v>750</v>
      </c>
      <c r="AM311" s="24">
        <f t="shared" si="1295"/>
        <v>1</v>
      </c>
      <c r="AN311" s="24">
        <f>ROUND(INDEX($C$2:$C$5,MATCH($E311,$B$2:$B$5,0))*$H311/SUMIFS($H:$H,$E:$E,$E311,$B:$B,$B311,AM:AM,1)*IF(B311=$B$10,0.9,1),0)</f>
        <v>750</v>
      </c>
      <c r="AX311" s="4" t="str">
        <f t="shared" si="1101"/>
        <v>1,750</v>
      </c>
      <c r="AY311" s="4" t="str">
        <f t="shared" si="1102"/>
        <v>1,900</v>
      </c>
      <c r="AZ311" s="4" t="str">
        <f t="shared" si="1103"/>
        <v>1,900</v>
      </c>
      <c r="BA311" s="4" t="str">
        <f t="shared" si="1104"/>
        <v>1,900</v>
      </c>
      <c r="BB311" s="4" t="str">
        <f t="shared" si="1105"/>
        <v>1,750</v>
      </c>
      <c r="BC311" s="4" t="str">
        <f t="shared" si="1106"/>
        <v>1,750</v>
      </c>
      <c r="BD311" s="4" t="str">
        <f t="shared" si="1107"/>
        <v>1,750</v>
      </c>
      <c r="BE311" s="4" t="str">
        <f t="shared" si="1108"/>
        <v>1,750</v>
      </c>
      <c r="BF311" s="4" t="str">
        <f t="shared" si="1109"/>
        <v>1,750</v>
      </c>
      <c r="BG311" s="4" t="str">
        <f t="shared" si="1110"/>
        <v>1,750</v>
      </c>
      <c r="BH311" s="4" t="str">
        <f t="shared" si="1111"/>
        <v>1,750</v>
      </c>
      <c r="BI311" s="4" t="str">
        <f t="shared" si="1112"/>
        <v>1,750</v>
      </c>
      <c r="BJ311" s="4" t="str">
        <f t="shared" si="1113"/>
        <v>1,750</v>
      </c>
    </row>
    <row r="312" customHeight="1" spans="1:62">
      <c r="A312" s="62">
        <f t="shared" si="1179"/>
        <v>1841</v>
      </c>
      <c r="B312" s="74" t="s">
        <v>134</v>
      </c>
      <c r="C312" s="64"/>
      <c r="D312" s="46" t="s">
        <v>137</v>
      </c>
      <c r="E312" s="62">
        <v>3</v>
      </c>
      <c r="F312" s="35">
        <v>1</v>
      </c>
      <c r="G312" s="35">
        <f t="shared" si="1114"/>
        <v>1</v>
      </c>
      <c r="H312" s="35">
        <v>1</v>
      </c>
      <c r="I312" s="35">
        <v>1</v>
      </c>
      <c r="J312" s="35">
        <v>1</v>
      </c>
      <c r="K312" s="35">
        <v>1</v>
      </c>
      <c r="L312" s="35">
        <v>2</v>
      </c>
      <c r="M312" s="35"/>
      <c r="N312">
        <f>INDEX($C$2:$C$5,MATCH(E312,$B$2:$B$5,0))</f>
        <v>1500</v>
      </c>
      <c r="O312" s="35">
        <v>1</v>
      </c>
      <c r="P312" s="24">
        <f>ROUND(INDEX($C$2:$C$5,MATCH($E312,$B$2:$B$5,0))*$F312/SUMIFS($F:$F,$E:$E,$E312,$B:$B,$B312,O:O,1)*IF(B312=$B$10,0.9,1),0)</f>
        <v>250</v>
      </c>
      <c r="Q312" s="24">
        <f t="shared" ref="Q312:U312" si="1296">IF($L312&lt;=Q$8,1,0)</f>
        <v>0</v>
      </c>
      <c r="R312" s="24">
        <f>ROUND(INDEX($C$2:$C$5,MATCH($E312,$B$2:$B$5,0))*$I312/SUMIFS($I:$I,$E:$E,$E312,$B:$B,$B312,Q:Q,1)*IF(B312=$B$10,0.9,1),0)</f>
        <v>300</v>
      </c>
      <c r="S312" s="24">
        <f t="shared" si="1296"/>
        <v>0</v>
      </c>
      <c r="T312" s="24">
        <f>ROUND(INDEX($C$2:$C$5,MATCH($E312,$B$2:$B$5,0))*$J312/SUMIFS($J:$J,$E:$E,$E312,$B:$B,$B312,S:S,1)*IF(B312=$B$10,0.9,1),0)</f>
        <v>300</v>
      </c>
      <c r="U312" s="24">
        <f t="shared" si="1296"/>
        <v>0</v>
      </c>
      <c r="V312" s="24">
        <f>ROUND(INDEX($C$2:$C$5,MATCH($E312,$B$2:$B$5,0))*$K312/SUMIFS($K:$K,$E:$E,$E312,$B:$B,$B312,U:U,1)*IF(B312=$B$10,0.9,1),0)</f>
        <v>300</v>
      </c>
      <c r="W312" s="24">
        <f t="shared" ref="W312:AA312" si="1297">IF($L312&lt;=W$8,1,0)</f>
        <v>1</v>
      </c>
      <c r="X312" s="24">
        <f>ROUND(INDEX($C$2:$C$5,MATCH($E312,$B$2:$B$5,0))*$F312/SUMIFS($F:$F,$E:$E,$E312,$B:$B,$B312,W:W,1)*IF(B312=$B$10,0.9,1),0)</f>
        <v>250</v>
      </c>
      <c r="Y312" s="24">
        <f t="shared" si="1297"/>
        <v>1</v>
      </c>
      <c r="Z312" s="24">
        <f>ROUND(INDEX($C$2:$C$5,MATCH($E312,$B$2:$B$5,0))*$G312/SUMIFS($G:$G,$E:$E,$E312,$B:$B,$B312,Y:Y,1)*IF(B312=$B$10,0.9,1),0)</f>
        <v>250</v>
      </c>
      <c r="AA312" s="24">
        <f t="shared" si="1297"/>
        <v>1</v>
      </c>
      <c r="AB312" s="24">
        <f>ROUND(INDEX($C$2:$C$5,MATCH($E312,$B$2:$B$5,0))*$H312/SUMIFS($H:$H,$E:$E,$E312,$B:$B,$B312,AA:AA,1)*IF(B312=$B$10,0.9,1),0)</f>
        <v>250</v>
      </c>
      <c r="AC312" s="24">
        <f t="shared" ref="AC312:AG312" si="1298">IF($L312&lt;=AC$8,1,0)</f>
        <v>1</v>
      </c>
      <c r="AD312" s="24">
        <f>ROUND(INDEX($C$2:$C$5,MATCH($E312,$B$2:$B$5,0))*$F312/SUMIFS($F:$F,$E:$E,$E312,$B:$B,$B312,AC:AC,1)*IF(B312=$B$10,0.9,1),0)</f>
        <v>250</v>
      </c>
      <c r="AE312" s="24">
        <f t="shared" si="1298"/>
        <v>1</v>
      </c>
      <c r="AF312" s="24">
        <f>ROUND(INDEX($C$2:$C$5,MATCH($E312,$B$2:$B$5,0))*$G312/SUMIFS($G:$G,$E:$E,$E312,$B:$B,$B312,AE:AE,1)*IF(B312=$B$10,0.9,1),0)</f>
        <v>250</v>
      </c>
      <c r="AG312" s="24">
        <f t="shared" si="1298"/>
        <v>1</v>
      </c>
      <c r="AH312" s="24">
        <f>ROUND(INDEX($C$2:$C$5,MATCH($E312,$B$2:$B$5,0))*$H312/SUMIFS($H:$H,$E:$E,$E312,$B:$B,$B312,AG:AG,1)*IF(B312=$B$10,0.9,1),0)</f>
        <v>250</v>
      </c>
      <c r="AI312" s="24">
        <f t="shared" ref="AI312:AM312" si="1299">IF($L312&lt;=AI$8,1,0)</f>
        <v>1</v>
      </c>
      <c r="AJ312" s="24">
        <f>ROUND(INDEX($C$2:$C$5,MATCH($E312,$B$2:$B$5,0))*$F312/SUMIFS($F:$F,$E:$E,$E312,$B:$B,$B312,AI:AI,1)*IF(B312=$B$10,0.9,1),0)</f>
        <v>250</v>
      </c>
      <c r="AK312" s="24">
        <f t="shared" si="1299"/>
        <v>1</v>
      </c>
      <c r="AL312" s="24">
        <f>ROUND(INDEX($C$2:$C$5,MATCH($E312,$B$2:$B$5,0))*$G312/SUMIFS($G:$G,$E:$E,$E312,$B:$B,$B312,AK:AK,1)*IF(B312=$B$10,0.9,1),0)</f>
        <v>250</v>
      </c>
      <c r="AM312" s="24">
        <f t="shared" si="1299"/>
        <v>1</v>
      </c>
      <c r="AN312" s="24">
        <f>ROUND(INDEX($C$2:$C$5,MATCH($E312,$B$2:$B$5,0))*$H312/SUMIFS($H:$H,$E:$E,$E312,$B:$B,$B312,AM:AM,1)*IF(B312=$B$10,0.9,1),0)</f>
        <v>250</v>
      </c>
      <c r="AX312" s="4" t="str">
        <f t="shared" si="1101"/>
        <v>1,250</v>
      </c>
      <c r="AY312" s="4" t="str">
        <f t="shared" si="1102"/>
        <v>0,300</v>
      </c>
      <c r="AZ312" s="4" t="str">
        <f t="shared" si="1103"/>
        <v>0,300</v>
      </c>
      <c r="BA312" s="4" t="str">
        <f t="shared" si="1104"/>
        <v>0,300</v>
      </c>
      <c r="BB312" s="4" t="str">
        <f t="shared" si="1105"/>
        <v>1,250</v>
      </c>
      <c r="BC312" s="4" t="str">
        <f t="shared" si="1106"/>
        <v>1,250</v>
      </c>
      <c r="BD312" s="4" t="str">
        <f t="shared" si="1107"/>
        <v>1,250</v>
      </c>
      <c r="BE312" s="4" t="str">
        <f t="shared" si="1108"/>
        <v>1,250</v>
      </c>
      <c r="BF312" s="4" t="str">
        <f t="shared" si="1109"/>
        <v>1,250</v>
      </c>
      <c r="BG312" s="4" t="str">
        <f t="shared" si="1110"/>
        <v>1,250</v>
      </c>
      <c r="BH312" s="4" t="str">
        <f t="shared" si="1111"/>
        <v>1,250</v>
      </c>
      <c r="BI312" s="4" t="str">
        <f t="shared" si="1112"/>
        <v>1,250</v>
      </c>
      <c r="BJ312" s="4" t="str">
        <f t="shared" si="1113"/>
        <v>1,250</v>
      </c>
    </row>
    <row r="313" customHeight="1" spans="1:62">
      <c r="A313" s="62">
        <f t="shared" si="1179"/>
        <v>1842</v>
      </c>
      <c r="B313" s="74" t="s">
        <v>134</v>
      </c>
      <c r="C313" s="64"/>
      <c r="D313" s="46" t="s">
        <v>26</v>
      </c>
      <c r="E313" s="65">
        <v>3</v>
      </c>
      <c r="F313" s="35">
        <v>1</v>
      </c>
      <c r="G313" s="35">
        <f t="shared" si="1114"/>
        <v>1</v>
      </c>
      <c r="H313" s="35">
        <v>1</v>
      </c>
      <c r="I313" s="35">
        <v>1</v>
      </c>
      <c r="J313" s="35">
        <v>1</v>
      </c>
      <c r="K313" s="35">
        <v>1</v>
      </c>
      <c r="L313" s="35">
        <v>1</v>
      </c>
      <c r="M313" s="35"/>
      <c r="N313">
        <f>INDEX($C$2:$C$5,MATCH(E313,$B$2:$B$5,0))</f>
        <v>1500</v>
      </c>
      <c r="O313" s="35">
        <v>1</v>
      </c>
      <c r="P313" s="24">
        <f>ROUND(INDEX($C$2:$C$5,MATCH($E313,$B$2:$B$5,0))*$F313/SUMIFS($F:$F,$E:$E,$E313,$B:$B,$B313,O:O,1)*IF(B313=$B$10,0.9,1),0)</f>
        <v>250</v>
      </c>
      <c r="Q313" s="24">
        <f t="shared" ref="Q313:U313" si="1300">IF($L313&lt;=Q$8,1,0)</f>
        <v>1</v>
      </c>
      <c r="R313" s="24">
        <f>ROUND(INDEX($C$2:$C$5,MATCH($E313,$B$2:$B$5,0))*$I313/SUMIFS($I:$I,$E:$E,$E313,$B:$B,$B313,Q:Q,1)*IF(B313=$B$10,0.9,1),0)</f>
        <v>300</v>
      </c>
      <c r="S313" s="24">
        <f t="shared" si="1300"/>
        <v>1</v>
      </c>
      <c r="T313" s="24">
        <f>ROUND(INDEX($C$2:$C$5,MATCH($E313,$B$2:$B$5,0))*$J313/SUMIFS($J:$J,$E:$E,$E313,$B:$B,$B313,S:S,1)*IF(B313=$B$10,0.9,1),0)</f>
        <v>300</v>
      </c>
      <c r="U313" s="24">
        <f t="shared" si="1300"/>
        <v>1</v>
      </c>
      <c r="V313" s="24">
        <f>ROUND(INDEX($C$2:$C$5,MATCH($E313,$B$2:$B$5,0))*$K313/SUMIFS($K:$K,$E:$E,$E313,$B:$B,$B313,U:U,1)*IF(B313=$B$10,0.9,1),0)</f>
        <v>300</v>
      </c>
      <c r="W313" s="24">
        <f t="shared" ref="W313:AA313" si="1301">IF($L313&lt;=W$8,1,0)</f>
        <v>1</v>
      </c>
      <c r="X313" s="24">
        <f>ROUND(INDEX($C$2:$C$5,MATCH($E313,$B$2:$B$5,0))*$F313/SUMIFS($F:$F,$E:$E,$E313,$B:$B,$B313,W:W,1)*IF(B313=$B$10,0.9,1),0)</f>
        <v>250</v>
      </c>
      <c r="Y313" s="24">
        <f t="shared" si="1301"/>
        <v>1</v>
      </c>
      <c r="Z313" s="24">
        <f>ROUND(INDEX($C$2:$C$5,MATCH($E313,$B$2:$B$5,0))*$G313/SUMIFS($G:$G,$E:$E,$E313,$B:$B,$B313,Y:Y,1)*IF(B313=$B$10,0.9,1),0)</f>
        <v>250</v>
      </c>
      <c r="AA313" s="24">
        <f t="shared" si="1301"/>
        <v>1</v>
      </c>
      <c r="AB313" s="24">
        <f>ROUND(INDEX($C$2:$C$5,MATCH($E313,$B$2:$B$5,0))*$H313/SUMIFS($H:$H,$E:$E,$E313,$B:$B,$B313,AA:AA,1)*IF(B313=$B$10,0.9,1),0)</f>
        <v>250</v>
      </c>
      <c r="AC313" s="24">
        <f t="shared" ref="AC313:AG313" si="1302">IF($L313&lt;=AC$8,1,0)</f>
        <v>1</v>
      </c>
      <c r="AD313" s="24">
        <f>ROUND(INDEX($C$2:$C$5,MATCH($E313,$B$2:$B$5,0))*$F313/SUMIFS($F:$F,$E:$E,$E313,$B:$B,$B313,AC:AC,1)*IF(B313=$B$10,0.9,1),0)</f>
        <v>250</v>
      </c>
      <c r="AE313" s="24">
        <f t="shared" si="1302"/>
        <v>1</v>
      </c>
      <c r="AF313" s="24">
        <f>ROUND(INDEX($C$2:$C$5,MATCH($E313,$B$2:$B$5,0))*$G313/SUMIFS($G:$G,$E:$E,$E313,$B:$B,$B313,AE:AE,1)*IF(B313=$B$10,0.9,1),0)</f>
        <v>250</v>
      </c>
      <c r="AG313" s="24">
        <f t="shared" si="1302"/>
        <v>1</v>
      </c>
      <c r="AH313" s="24">
        <f>ROUND(INDEX($C$2:$C$5,MATCH($E313,$B$2:$B$5,0))*$H313/SUMIFS($H:$H,$E:$E,$E313,$B:$B,$B313,AG:AG,1)*IF(B313=$B$10,0.9,1),0)</f>
        <v>250</v>
      </c>
      <c r="AI313" s="24">
        <f t="shared" ref="AI313:AM313" si="1303">IF($L313&lt;=AI$8,1,0)</f>
        <v>1</v>
      </c>
      <c r="AJ313" s="24">
        <f>ROUND(INDEX($C$2:$C$5,MATCH($E313,$B$2:$B$5,0))*$F313/SUMIFS($F:$F,$E:$E,$E313,$B:$B,$B313,AI:AI,1)*IF(B313=$B$10,0.9,1),0)</f>
        <v>250</v>
      </c>
      <c r="AK313" s="24">
        <f t="shared" si="1303"/>
        <v>1</v>
      </c>
      <c r="AL313" s="24">
        <f>ROUND(INDEX($C$2:$C$5,MATCH($E313,$B$2:$B$5,0))*$G313/SUMIFS($G:$G,$E:$E,$E313,$B:$B,$B313,AK:AK,1)*IF(B313=$B$10,0.9,1),0)</f>
        <v>250</v>
      </c>
      <c r="AM313" s="24">
        <f t="shared" si="1303"/>
        <v>1</v>
      </c>
      <c r="AN313" s="24">
        <f>ROUND(INDEX($C$2:$C$5,MATCH($E313,$B$2:$B$5,0))*$H313/SUMIFS($H:$H,$E:$E,$E313,$B:$B,$B313,AM:AM,1)*IF(B313=$B$10,0.9,1),0)</f>
        <v>250</v>
      </c>
      <c r="AX313" s="4" t="str">
        <f t="shared" si="1101"/>
        <v>1,250</v>
      </c>
      <c r="AY313" s="4" t="str">
        <f t="shared" si="1102"/>
        <v>1,300</v>
      </c>
      <c r="AZ313" s="4" t="str">
        <f t="shared" si="1103"/>
        <v>1,300</v>
      </c>
      <c r="BA313" s="4" t="str">
        <f t="shared" si="1104"/>
        <v>1,300</v>
      </c>
      <c r="BB313" s="4" t="str">
        <f t="shared" si="1105"/>
        <v>1,250</v>
      </c>
      <c r="BC313" s="4" t="str">
        <f t="shared" si="1106"/>
        <v>1,250</v>
      </c>
      <c r="BD313" s="4" t="str">
        <f t="shared" si="1107"/>
        <v>1,250</v>
      </c>
      <c r="BE313" s="4" t="str">
        <f t="shared" si="1108"/>
        <v>1,250</v>
      </c>
      <c r="BF313" s="4" t="str">
        <f t="shared" si="1109"/>
        <v>1,250</v>
      </c>
      <c r="BG313" s="4" t="str">
        <f t="shared" si="1110"/>
        <v>1,250</v>
      </c>
      <c r="BH313" s="4" t="str">
        <f t="shared" si="1111"/>
        <v>1,250</v>
      </c>
      <c r="BI313" s="4" t="str">
        <f t="shared" si="1112"/>
        <v>1,250</v>
      </c>
      <c r="BJ313" s="4" t="str">
        <f t="shared" si="1113"/>
        <v>1,250</v>
      </c>
    </row>
    <row r="314" customHeight="1" spans="1:62">
      <c r="A314" s="62">
        <f t="shared" si="1179"/>
        <v>1851</v>
      </c>
      <c r="B314" s="74" t="s">
        <v>134</v>
      </c>
      <c r="C314" s="64"/>
      <c r="D314" s="47" t="s">
        <v>28</v>
      </c>
      <c r="E314" s="65">
        <v>4</v>
      </c>
      <c r="F314" s="35">
        <v>1</v>
      </c>
      <c r="G314" s="35">
        <f t="shared" si="1114"/>
        <v>1</v>
      </c>
      <c r="H314" s="35">
        <v>1</v>
      </c>
      <c r="I314" s="35">
        <v>1</v>
      </c>
      <c r="J314" s="35">
        <v>1</v>
      </c>
      <c r="K314" s="35">
        <v>1</v>
      </c>
      <c r="L314" s="35">
        <v>1</v>
      </c>
      <c r="M314" s="35" t="s">
        <v>136</v>
      </c>
      <c r="N314">
        <f>INDEX($C$2:$C$5,MATCH(E314,$B$2:$B$5,0))</f>
        <v>500</v>
      </c>
      <c r="O314" s="35">
        <v>1</v>
      </c>
      <c r="P314" s="24">
        <f>ROUND(INDEX($C$2:$C$5,MATCH($E314,$B$2:$B$5,0))*$F314/SUMIFS($F:$F,$E:$E,$E314,$B:$B,$B314,O:O,1)*IF(B314=$B$10,0.9,1),0)</f>
        <v>250</v>
      </c>
      <c r="Q314" s="24">
        <f t="shared" ref="Q314:U314" si="1304">IF($L314&lt;=Q$8,1,0)</f>
        <v>1</v>
      </c>
      <c r="R314" s="24">
        <f>ROUND(INDEX($C$2:$C$5,MATCH($E314,$B$2:$B$5,0))*$I314/SUMIFS($I:$I,$E:$E,$E314,$B:$B,$B314,Q:Q,1)*IF(B314=$B$10,0.9,1),0)</f>
        <v>500</v>
      </c>
      <c r="S314" s="24">
        <f t="shared" si="1304"/>
        <v>1</v>
      </c>
      <c r="T314" s="24">
        <f>ROUND(INDEX($C$2:$C$5,MATCH($E314,$B$2:$B$5,0))*$J314/SUMIFS($J:$J,$E:$E,$E314,$B:$B,$B314,S:S,1)*IF(B314=$B$10,0.9,1),0)</f>
        <v>500</v>
      </c>
      <c r="U314" s="24">
        <f t="shared" si="1304"/>
        <v>1</v>
      </c>
      <c r="V314" s="24">
        <f>ROUND(INDEX($C$2:$C$5,MATCH($E314,$B$2:$B$5,0))*$K314/SUMIFS($K:$K,$E:$E,$E314,$B:$B,$B314,U:U,1)*IF(B314=$B$10,0.9,1),0)</f>
        <v>500</v>
      </c>
      <c r="W314" s="24">
        <f t="shared" ref="W314:AA314" si="1305">IF($L314&lt;=W$8,1,0)</f>
        <v>1</v>
      </c>
      <c r="X314" s="24">
        <f>ROUND(INDEX($C$2:$C$5,MATCH($E314,$B$2:$B$5,0))*$F314/SUMIFS($F:$F,$E:$E,$E314,$B:$B,$B314,W:W,1)*IF(B314=$B$10,0.9,1),0)</f>
        <v>500</v>
      </c>
      <c r="Y314" s="24">
        <f t="shared" si="1305"/>
        <v>1</v>
      </c>
      <c r="Z314" s="24">
        <f>ROUND(INDEX($C$2:$C$5,MATCH($E314,$B$2:$B$5,0))*$G314/SUMIFS($G:$G,$E:$E,$E314,$B:$B,$B314,Y:Y,1)*IF(B314=$B$10,0.9,1),0)</f>
        <v>500</v>
      </c>
      <c r="AA314" s="24">
        <f t="shared" si="1305"/>
        <v>1</v>
      </c>
      <c r="AB314" s="24">
        <f>ROUND(INDEX($C$2:$C$5,MATCH($E314,$B$2:$B$5,0))*$H314/SUMIFS($H:$H,$E:$E,$E314,$B:$B,$B314,AA:AA,1)*IF(B314=$B$10,0.9,1),0)</f>
        <v>500</v>
      </c>
      <c r="AC314" s="24">
        <f t="shared" ref="AC314:AG314" si="1306">IF($L314&lt;=AC$8,1,0)</f>
        <v>1</v>
      </c>
      <c r="AD314" s="24">
        <f>ROUND(INDEX($C$2:$C$5,MATCH($E314,$B$2:$B$5,0))*$F314/SUMIFS($F:$F,$E:$E,$E314,$B:$B,$B314,AC:AC,1)*IF(B314=$B$10,0.9,1),0)</f>
        <v>250</v>
      </c>
      <c r="AE314" s="24">
        <f t="shared" si="1306"/>
        <v>1</v>
      </c>
      <c r="AF314" s="24">
        <f>ROUND(INDEX($C$2:$C$5,MATCH($E314,$B$2:$B$5,0))*$G314/SUMIFS($G:$G,$E:$E,$E314,$B:$B,$B314,AE:AE,1)*IF(B314=$B$10,0.9,1),0)</f>
        <v>250</v>
      </c>
      <c r="AG314" s="24">
        <f t="shared" si="1306"/>
        <v>1</v>
      </c>
      <c r="AH314" s="24">
        <f>ROUND(INDEX($C$2:$C$5,MATCH($E314,$B$2:$B$5,0))*$H314/SUMIFS($H:$H,$E:$E,$E314,$B:$B,$B314,AG:AG,1)*IF(B314=$B$10,0.9,1),0)</f>
        <v>250</v>
      </c>
      <c r="AI314" s="24">
        <f t="shared" ref="AI314:AM314" si="1307">IF($L314&lt;=AI$8,1,0)</f>
        <v>1</v>
      </c>
      <c r="AJ314" s="24">
        <f>ROUND(INDEX($C$2:$C$5,MATCH($E314,$B$2:$B$5,0))*$F314/SUMIFS($F:$F,$E:$E,$E314,$B:$B,$B314,AI:AI,1)*IF(B314=$B$10,0.9,1),0)</f>
        <v>250</v>
      </c>
      <c r="AK314" s="24">
        <f t="shared" si="1307"/>
        <v>1</v>
      </c>
      <c r="AL314" s="24">
        <f>ROUND(INDEX($C$2:$C$5,MATCH($E314,$B$2:$B$5,0))*$G314/SUMIFS($G:$G,$E:$E,$E314,$B:$B,$B314,AK:AK,1)*IF(B314=$B$10,0.9,1),0)</f>
        <v>250</v>
      </c>
      <c r="AM314" s="24">
        <f t="shared" si="1307"/>
        <v>1</v>
      </c>
      <c r="AN314" s="24">
        <f>ROUND(INDEX($C$2:$C$5,MATCH($E314,$B$2:$B$5,0))*$H314/SUMIFS($H:$H,$E:$E,$E314,$B:$B,$B314,AM:AM,1)*IF(B314=$B$10,0.9,1),0)</f>
        <v>250</v>
      </c>
      <c r="AX314" s="4" t="str">
        <f t="shared" si="1101"/>
        <v>1,250</v>
      </c>
      <c r="AY314" s="4" t="str">
        <f t="shared" si="1102"/>
        <v>1,500</v>
      </c>
      <c r="AZ314" s="4" t="str">
        <f t="shared" si="1103"/>
        <v>1,500</v>
      </c>
      <c r="BA314" s="4" t="str">
        <f t="shared" si="1104"/>
        <v>1,500</v>
      </c>
      <c r="BB314" s="4" t="str">
        <f t="shared" si="1105"/>
        <v>1,500</v>
      </c>
      <c r="BC314" s="4" t="str">
        <f t="shared" si="1106"/>
        <v>1,500</v>
      </c>
      <c r="BD314" s="4" t="str">
        <f t="shared" si="1107"/>
        <v>1,500</v>
      </c>
      <c r="BE314" s="4" t="str">
        <f t="shared" si="1108"/>
        <v>1,250</v>
      </c>
      <c r="BF314" s="4" t="str">
        <f t="shared" si="1109"/>
        <v>1,250</v>
      </c>
      <c r="BG314" s="4" t="str">
        <f t="shared" si="1110"/>
        <v>1,250</v>
      </c>
      <c r="BH314" s="4" t="str">
        <f t="shared" si="1111"/>
        <v>1,250</v>
      </c>
      <c r="BI314" s="4" t="str">
        <f t="shared" si="1112"/>
        <v>1,250</v>
      </c>
      <c r="BJ314" s="4" t="str">
        <f t="shared" si="1113"/>
        <v>1,250</v>
      </c>
    </row>
    <row r="315" s="36" customFormat="1" customHeight="1" spans="1:62">
      <c r="A315" s="68">
        <f t="shared" si="1179"/>
        <v>1852</v>
      </c>
      <c r="B315" s="74" t="s">
        <v>134</v>
      </c>
      <c r="C315" s="70"/>
      <c r="D315" s="48" t="s">
        <v>138</v>
      </c>
      <c r="E315" s="71">
        <v>4</v>
      </c>
      <c r="F315" s="72">
        <v>1</v>
      </c>
      <c r="G315" s="72">
        <f t="shared" si="1114"/>
        <v>1</v>
      </c>
      <c r="H315" s="72">
        <v>1</v>
      </c>
      <c r="I315" s="72">
        <v>1</v>
      </c>
      <c r="J315" s="72">
        <v>1</v>
      </c>
      <c r="K315" s="72">
        <v>1</v>
      </c>
      <c r="L315" s="72">
        <v>3</v>
      </c>
      <c r="M315" s="72"/>
      <c r="N315" s="36">
        <f>INDEX($C$2:$C$5,MATCH(E315,$B$2:$B$5,0))</f>
        <v>500</v>
      </c>
      <c r="O315" s="72">
        <v>1</v>
      </c>
      <c r="P315" s="79">
        <f>ROUND(INDEX($C$2:$C$5,MATCH($E315,$B$2:$B$5,0))*$F315/SUMIFS($F:$F,$E:$E,$E315,$B:$B,$B315,O:O,1)*IF(B315=$B$10,0.9,1),0)</f>
        <v>250</v>
      </c>
      <c r="Q315" s="79">
        <f t="shared" ref="Q315:U315" si="1308">IF($L315&lt;=Q$8,1,0)</f>
        <v>0</v>
      </c>
      <c r="R315" s="79">
        <f>ROUND(INDEX($C$2:$C$5,MATCH($E315,$B$2:$B$5,0))*$I315/SUMIFS($I:$I,$E:$E,$E315,$B:$B,$B315,Q:Q,1)*IF(B315=$B$10,0.9,1),0)</f>
        <v>500</v>
      </c>
      <c r="S315" s="79">
        <f t="shared" si="1308"/>
        <v>0</v>
      </c>
      <c r="T315" s="79">
        <f>ROUND(INDEX($C$2:$C$5,MATCH($E315,$B$2:$B$5,0))*$J315/SUMIFS($J:$J,$E:$E,$E315,$B:$B,$B315,S:S,1)*IF(B315=$B$10,0.9,1),0)</f>
        <v>500</v>
      </c>
      <c r="U315" s="79">
        <f t="shared" si="1308"/>
        <v>0</v>
      </c>
      <c r="V315" s="79">
        <f>ROUND(INDEX($C$2:$C$5,MATCH($E315,$B$2:$B$5,0))*$K315/SUMIFS($K:$K,$E:$E,$E315,$B:$B,$B315,U:U,1)*IF(B315=$B$10,0.9,1),0)</f>
        <v>500</v>
      </c>
      <c r="W315" s="79">
        <f t="shared" ref="W315:AA315" si="1309">IF($L315&lt;=W$8,1,0)</f>
        <v>0</v>
      </c>
      <c r="X315" s="79">
        <f>ROUND(INDEX($C$2:$C$5,MATCH($E315,$B$2:$B$5,0))*$F315/SUMIFS($F:$F,$E:$E,$E315,$B:$B,$B315,W:W,1)*IF(B315=$B$10,0.9,1),0)</f>
        <v>500</v>
      </c>
      <c r="Y315" s="79">
        <f t="shared" si="1309"/>
        <v>0</v>
      </c>
      <c r="Z315" s="79">
        <f>ROUND(INDEX($C$2:$C$5,MATCH($E315,$B$2:$B$5,0))*$G315/SUMIFS($G:$G,$E:$E,$E315,$B:$B,$B315,Y:Y,1)*IF(B315=$B$10,0.9,1),0)</f>
        <v>500</v>
      </c>
      <c r="AA315" s="79">
        <f t="shared" si="1309"/>
        <v>0</v>
      </c>
      <c r="AB315" s="79">
        <f>ROUND(INDEX($C$2:$C$5,MATCH($E315,$B$2:$B$5,0))*$H315/SUMIFS($H:$H,$E:$E,$E315,$B:$B,$B315,AA:AA,1)*IF(B315=$B$10,0.9,1),0)</f>
        <v>500</v>
      </c>
      <c r="AC315" s="79">
        <f t="shared" ref="AC315:AG315" si="1310">IF($L315&lt;=AC$8,1,0)</f>
        <v>1</v>
      </c>
      <c r="AD315" s="79">
        <f>ROUND(INDEX($C$2:$C$5,MATCH($E315,$B$2:$B$5,0))*$F315/SUMIFS($F:$F,$E:$E,$E315,$B:$B,$B315,AC:AC,1)*IF(B315=$B$10,0.9,1),0)</f>
        <v>250</v>
      </c>
      <c r="AE315" s="79">
        <f t="shared" si="1310"/>
        <v>1</v>
      </c>
      <c r="AF315" s="79">
        <f>ROUND(INDEX($C$2:$C$5,MATCH($E315,$B$2:$B$5,0))*$G315/SUMIFS($G:$G,$E:$E,$E315,$B:$B,$B315,AE:AE,1)*IF(B315=$B$10,0.9,1),0)</f>
        <v>250</v>
      </c>
      <c r="AG315" s="79">
        <f t="shared" si="1310"/>
        <v>1</v>
      </c>
      <c r="AH315" s="79">
        <f>ROUND(INDEX($C$2:$C$5,MATCH($E315,$B$2:$B$5,0))*$H315/SUMIFS($H:$H,$E:$E,$E315,$B:$B,$B315,AG:AG,1)*IF(B315=$B$10,0.9,1),0)</f>
        <v>250</v>
      </c>
      <c r="AI315" s="79">
        <f t="shared" ref="AI315:AM315" si="1311">IF($L315&lt;=AI$8,1,0)</f>
        <v>1</v>
      </c>
      <c r="AJ315" s="79">
        <f>ROUND(INDEX($C$2:$C$5,MATCH($E315,$B$2:$B$5,0))*$F315/SUMIFS($F:$F,$E:$E,$E315,$B:$B,$B315,AI:AI,1)*IF(B315=$B$10,0.9,1),0)</f>
        <v>250</v>
      </c>
      <c r="AK315" s="79">
        <f t="shared" si="1311"/>
        <v>1</v>
      </c>
      <c r="AL315" s="79">
        <f>ROUND(INDEX($C$2:$C$5,MATCH($E315,$B$2:$B$5,0))*$G315/SUMIFS($G:$G,$E:$E,$E315,$B:$B,$B315,AK:AK,1)*IF(B315=$B$10,0.9,1),0)</f>
        <v>250</v>
      </c>
      <c r="AM315" s="79">
        <f t="shared" si="1311"/>
        <v>1</v>
      </c>
      <c r="AN315" s="79">
        <f>ROUND(INDEX($C$2:$C$5,MATCH($E315,$B$2:$B$5,0))*$H315/SUMIFS($H:$H,$E:$E,$E315,$B:$B,$B315,AM:AM,1)*IF(B315=$B$10,0.9,1),0)</f>
        <v>250</v>
      </c>
      <c r="AX315" s="81" t="str">
        <f t="shared" si="1101"/>
        <v>1,250</v>
      </c>
      <c r="AY315" s="81" t="str">
        <f t="shared" si="1102"/>
        <v>0,500</v>
      </c>
      <c r="AZ315" s="81" t="str">
        <f t="shared" si="1103"/>
        <v>0,500</v>
      </c>
      <c r="BA315" s="81" t="str">
        <f t="shared" si="1104"/>
        <v>0,500</v>
      </c>
      <c r="BB315" s="81" t="str">
        <f t="shared" si="1105"/>
        <v>0,500</v>
      </c>
      <c r="BC315" s="81" t="str">
        <f t="shared" si="1106"/>
        <v>0,500</v>
      </c>
      <c r="BD315" s="81" t="str">
        <f t="shared" si="1107"/>
        <v>0,500</v>
      </c>
      <c r="BE315" s="81" t="str">
        <f t="shared" si="1108"/>
        <v>1,250</v>
      </c>
      <c r="BF315" s="81" t="str">
        <f t="shared" si="1109"/>
        <v>1,250</v>
      </c>
      <c r="BG315" s="81" t="str">
        <f t="shared" si="1110"/>
        <v>1,250</v>
      </c>
      <c r="BH315" s="81" t="str">
        <f t="shared" si="1111"/>
        <v>1,250</v>
      </c>
      <c r="BI315" s="81" t="str">
        <f t="shared" si="1112"/>
        <v>1,250</v>
      </c>
      <c r="BJ315" s="81" t="str">
        <f t="shared" si="1113"/>
        <v>1,250</v>
      </c>
    </row>
    <row r="316" customHeight="1" spans="1:62">
      <c r="A316" s="73">
        <f t="shared" si="1179"/>
        <v>1901</v>
      </c>
      <c r="B316" s="74" t="s">
        <v>139</v>
      </c>
      <c r="C316" s="75" t="s">
        <v>218</v>
      </c>
      <c r="D316" s="76" t="s">
        <v>356</v>
      </c>
      <c r="E316" s="77">
        <v>1</v>
      </c>
      <c r="F316" s="78">
        <v>1</v>
      </c>
      <c r="G316" s="78">
        <f t="shared" si="1114"/>
        <v>1</v>
      </c>
      <c r="H316" s="78">
        <v>1</v>
      </c>
      <c r="I316" s="78">
        <v>1</v>
      </c>
      <c r="J316" s="78">
        <v>1</v>
      </c>
      <c r="K316" s="78">
        <v>1</v>
      </c>
      <c r="L316" s="78">
        <v>1</v>
      </c>
      <c r="M316" s="78"/>
      <c r="N316">
        <f>INDEX($C$2:$C$5,MATCH(E316,$B$2:$B$5,0))</f>
        <v>13500</v>
      </c>
      <c r="O316" s="78">
        <v>1</v>
      </c>
      <c r="P316" s="80">
        <f>ROUND(INDEX($C$2:$C$5,MATCH($E316,$B$2:$B$5,0))*$F316/SUMIFS($F:$F,$E:$E,$E316,$B:$B,$B316,O:O,1)*IF(B316=$B$10,0.9,1),0)</f>
        <v>4500</v>
      </c>
      <c r="Q316" s="80">
        <f t="shared" ref="Q316:U316" si="1312">IF($L316&lt;=Q$8,1,0)</f>
        <v>1</v>
      </c>
      <c r="R316" s="80">
        <f>ROUND(INDEX($C$2:$C$5,MATCH($E316,$B$2:$B$5,0))*$I316/SUMIFS($I:$I,$E:$E,$E316,$B:$B,$B316,Q:Q,1)*IF(B316=$B$10,0.9,1),0)</f>
        <v>4500</v>
      </c>
      <c r="S316" s="80">
        <f t="shared" si="1312"/>
        <v>1</v>
      </c>
      <c r="T316" s="80">
        <f>ROUND(INDEX($C$2:$C$5,MATCH($E316,$B$2:$B$5,0))*$J316/SUMIFS($J:$J,$E:$E,$E316,$B:$B,$B316,S:S,1)*IF(B316=$B$10,0.9,1),0)</f>
        <v>4500</v>
      </c>
      <c r="U316" s="80">
        <f t="shared" si="1312"/>
        <v>1</v>
      </c>
      <c r="V316" s="80">
        <f>ROUND(INDEX($C$2:$C$5,MATCH($E316,$B$2:$B$5,0))*$K316/SUMIFS($K:$K,$E:$E,$E316,$B:$B,$B316,U:U,1)*IF(B316=$B$10,0.9,1),0)</f>
        <v>4500</v>
      </c>
      <c r="W316" s="80">
        <f t="shared" ref="W316:AA316" si="1313">IF($L316&lt;=W$8,1,0)</f>
        <v>1</v>
      </c>
      <c r="X316" s="80">
        <f>ROUND(INDEX($C$2:$C$5,MATCH($E316,$B$2:$B$5,0))*$F316/SUMIFS($F:$F,$E:$E,$E316,$B:$B,$B316,W:W,1)*IF(B316=$B$10,0.9,1),0)</f>
        <v>4500</v>
      </c>
      <c r="Y316" s="80">
        <f t="shared" si="1313"/>
        <v>1</v>
      </c>
      <c r="Z316" s="80">
        <f>ROUND(INDEX($C$2:$C$5,MATCH($E316,$B$2:$B$5,0))*$G316/SUMIFS($G:$G,$E:$E,$E316,$B:$B,$B316,Y:Y,1)*IF(B316=$B$10,0.9,1),0)</f>
        <v>4500</v>
      </c>
      <c r="AA316" s="80">
        <f t="shared" si="1313"/>
        <v>1</v>
      </c>
      <c r="AB316" s="80">
        <f>ROUND(INDEX($C$2:$C$5,MATCH($E316,$B$2:$B$5,0))*$H316/SUMIFS($H:$H,$E:$E,$E316,$B:$B,$B316,AA:AA,1)*IF(B316=$B$10,0.9,1),0)</f>
        <v>4500</v>
      </c>
      <c r="AC316" s="80">
        <f t="shared" ref="AC316:AG316" si="1314">IF($L316&lt;=AC$8,1,0)</f>
        <v>1</v>
      </c>
      <c r="AD316" s="80">
        <f>ROUND(INDEX($C$2:$C$5,MATCH($E316,$B$2:$B$5,0))*$F316/SUMIFS($F:$F,$E:$E,$E316,$B:$B,$B316,AC:AC,1)*IF(B316=$B$10,0.9,1),0)</f>
        <v>4500</v>
      </c>
      <c r="AE316" s="80">
        <f t="shared" si="1314"/>
        <v>1</v>
      </c>
      <c r="AF316" s="80">
        <f>ROUND(INDEX($C$2:$C$5,MATCH($E316,$B$2:$B$5,0))*$G316/SUMIFS($G:$G,$E:$E,$E316,$B:$B,$B316,AE:AE,1)*IF(B316=$B$10,0.9,1),0)</f>
        <v>4500</v>
      </c>
      <c r="AG316" s="80">
        <f t="shared" si="1314"/>
        <v>1</v>
      </c>
      <c r="AH316" s="80">
        <f>ROUND(INDEX($C$2:$C$5,MATCH($E316,$B$2:$B$5,0))*$H316/SUMIFS($H:$H,$E:$E,$E316,$B:$B,$B316,AG:AG,1)*IF(B316=$B$10,0.9,1),0)</f>
        <v>4500</v>
      </c>
      <c r="AI316" s="80">
        <f t="shared" ref="AI316:AM316" si="1315">IF($L316&lt;=AI$8,1,0)</f>
        <v>1</v>
      </c>
      <c r="AJ316" s="80">
        <f>ROUND(INDEX($C$2:$C$5,MATCH($E316,$B$2:$B$5,0))*$F316/SUMIFS($F:$F,$E:$E,$E316,$B:$B,$B316,AI:AI,1)*IF(B316=$B$10,0.9,1),0)</f>
        <v>4500</v>
      </c>
      <c r="AK316" s="80">
        <f t="shared" si="1315"/>
        <v>1</v>
      </c>
      <c r="AL316" s="80">
        <f>ROUND(INDEX($C$2:$C$5,MATCH($E316,$B$2:$B$5,0))*$G316/SUMIFS($G:$G,$E:$E,$E316,$B:$B,$B316,AK:AK,1)*IF(B316=$B$10,0.9,1),0)</f>
        <v>4500</v>
      </c>
      <c r="AM316" s="80">
        <f t="shared" si="1315"/>
        <v>1</v>
      </c>
      <c r="AN316" s="80">
        <f>ROUND(INDEX($C$2:$C$5,MATCH($E316,$B$2:$B$5,0))*$H316/SUMIFS($H:$H,$E:$E,$E316,$B:$B,$B316,AM:AM,1)*IF(B316=$B$10,0.9,1),0)</f>
        <v>4500</v>
      </c>
      <c r="AX316" s="4" t="str">
        <f t="shared" si="1101"/>
        <v>1,4500</v>
      </c>
      <c r="AY316" s="4" t="str">
        <f t="shared" si="1102"/>
        <v>1,4500</v>
      </c>
      <c r="AZ316" s="4" t="str">
        <f t="shared" si="1103"/>
        <v>1,4500</v>
      </c>
      <c r="BA316" s="4" t="str">
        <f t="shared" si="1104"/>
        <v>1,4500</v>
      </c>
      <c r="BB316" s="4" t="str">
        <f t="shared" si="1105"/>
        <v>1,4500</v>
      </c>
      <c r="BC316" s="4" t="str">
        <f t="shared" si="1106"/>
        <v>1,4500</v>
      </c>
      <c r="BD316" s="4" t="str">
        <f t="shared" si="1107"/>
        <v>1,4500</v>
      </c>
      <c r="BE316" s="4" t="str">
        <f t="shared" si="1108"/>
        <v>1,4500</v>
      </c>
      <c r="BF316" s="4" t="str">
        <f t="shared" si="1109"/>
        <v>1,4500</v>
      </c>
      <c r="BG316" s="4" t="str">
        <f t="shared" si="1110"/>
        <v>1,4500</v>
      </c>
      <c r="BH316" s="4" t="str">
        <f t="shared" si="1111"/>
        <v>1,4500</v>
      </c>
      <c r="BI316" s="4" t="str">
        <f t="shared" si="1112"/>
        <v>1,4500</v>
      </c>
      <c r="BJ316" s="4" t="str">
        <f t="shared" si="1113"/>
        <v>1,4500</v>
      </c>
    </row>
    <row r="317" customHeight="1" spans="1:62">
      <c r="A317" s="62">
        <f t="shared" si="1179"/>
        <v>1902</v>
      </c>
      <c r="B317" s="74" t="s">
        <v>139</v>
      </c>
      <c r="C317" s="64" t="s">
        <v>218</v>
      </c>
      <c r="D317" s="41" t="s">
        <v>357</v>
      </c>
      <c r="E317" s="67">
        <v>1</v>
      </c>
      <c r="F317" s="35">
        <v>1</v>
      </c>
      <c r="G317" s="35">
        <f t="shared" si="1114"/>
        <v>1</v>
      </c>
      <c r="H317" s="35">
        <v>1</v>
      </c>
      <c r="I317" s="35">
        <v>1</v>
      </c>
      <c r="J317" s="35">
        <v>1</v>
      </c>
      <c r="K317" s="35">
        <v>1</v>
      </c>
      <c r="L317" s="35">
        <v>1</v>
      </c>
      <c r="M317" s="35"/>
      <c r="N317">
        <f>INDEX($C$2:$C$5,MATCH(E317,$B$2:$B$5,0))</f>
        <v>13500</v>
      </c>
      <c r="O317" s="35">
        <v>1</v>
      </c>
      <c r="P317" s="24">
        <f>ROUND(INDEX($C$2:$C$5,MATCH($E317,$B$2:$B$5,0))*$F317/SUMIFS($F:$F,$E:$E,$E317,$B:$B,$B317,O:O,1)*IF(B317=$B$10,0.9,1),0)</f>
        <v>4500</v>
      </c>
      <c r="Q317" s="24">
        <f t="shared" ref="Q317:U317" si="1316">IF($L317&lt;=Q$8,1,0)</f>
        <v>1</v>
      </c>
      <c r="R317" s="24">
        <f>ROUND(INDEX($C$2:$C$5,MATCH($E317,$B$2:$B$5,0))*$I317/SUMIFS($I:$I,$E:$E,$E317,$B:$B,$B317,Q:Q,1)*IF(B317=$B$10,0.9,1),0)</f>
        <v>4500</v>
      </c>
      <c r="S317" s="24">
        <f t="shared" si="1316"/>
        <v>1</v>
      </c>
      <c r="T317" s="24">
        <f>ROUND(INDEX($C$2:$C$5,MATCH($E317,$B$2:$B$5,0))*$J317/SUMIFS($J:$J,$E:$E,$E317,$B:$B,$B317,S:S,1)*IF(B317=$B$10,0.9,1),0)</f>
        <v>4500</v>
      </c>
      <c r="U317" s="24">
        <f t="shared" si="1316"/>
        <v>1</v>
      </c>
      <c r="V317" s="24">
        <f>ROUND(INDEX($C$2:$C$5,MATCH($E317,$B$2:$B$5,0))*$K317/SUMIFS($K:$K,$E:$E,$E317,$B:$B,$B317,U:U,1)*IF(B317=$B$10,0.9,1),0)</f>
        <v>4500</v>
      </c>
      <c r="W317" s="24">
        <f t="shared" ref="W317:AA317" si="1317">IF($L317&lt;=W$8,1,0)</f>
        <v>1</v>
      </c>
      <c r="X317" s="24">
        <f>ROUND(INDEX($C$2:$C$5,MATCH($E317,$B$2:$B$5,0))*$F317/SUMIFS($F:$F,$E:$E,$E317,$B:$B,$B317,W:W,1)*IF(B317=$B$10,0.9,1),0)</f>
        <v>4500</v>
      </c>
      <c r="Y317" s="24">
        <f t="shared" si="1317"/>
        <v>1</v>
      </c>
      <c r="Z317" s="24">
        <f>ROUND(INDEX($C$2:$C$5,MATCH($E317,$B$2:$B$5,0))*$G317/SUMIFS($G:$G,$E:$E,$E317,$B:$B,$B317,Y:Y,1)*IF(B317=$B$10,0.9,1),0)</f>
        <v>4500</v>
      </c>
      <c r="AA317" s="24">
        <f t="shared" si="1317"/>
        <v>1</v>
      </c>
      <c r="AB317" s="24">
        <f>ROUND(INDEX($C$2:$C$5,MATCH($E317,$B$2:$B$5,0))*$H317/SUMIFS($H:$H,$E:$E,$E317,$B:$B,$B317,AA:AA,1)*IF(B317=$B$10,0.9,1),0)</f>
        <v>4500</v>
      </c>
      <c r="AC317" s="24">
        <f t="shared" ref="AC317:AG317" si="1318">IF($L317&lt;=AC$8,1,0)</f>
        <v>1</v>
      </c>
      <c r="AD317" s="24">
        <f>ROUND(INDEX($C$2:$C$5,MATCH($E317,$B$2:$B$5,0))*$F317/SUMIFS($F:$F,$E:$E,$E317,$B:$B,$B317,AC:AC,1)*IF(B317=$B$10,0.9,1),0)</f>
        <v>4500</v>
      </c>
      <c r="AE317" s="24">
        <f t="shared" si="1318"/>
        <v>1</v>
      </c>
      <c r="AF317" s="24">
        <f>ROUND(INDEX($C$2:$C$5,MATCH($E317,$B$2:$B$5,0))*$G317/SUMIFS($G:$G,$E:$E,$E317,$B:$B,$B317,AE:AE,1)*IF(B317=$B$10,0.9,1),0)</f>
        <v>4500</v>
      </c>
      <c r="AG317" s="24">
        <f t="shared" si="1318"/>
        <v>1</v>
      </c>
      <c r="AH317" s="24">
        <f>ROUND(INDEX($C$2:$C$5,MATCH($E317,$B$2:$B$5,0))*$H317/SUMIFS($H:$H,$E:$E,$E317,$B:$B,$B317,AG:AG,1)*IF(B317=$B$10,0.9,1),0)</f>
        <v>4500</v>
      </c>
      <c r="AI317" s="24">
        <f t="shared" ref="AI317:AM317" si="1319">IF($L317&lt;=AI$8,1,0)</f>
        <v>1</v>
      </c>
      <c r="AJ317" s="24">
        <f>ROUND(INDEX($C$2:$C$5,MATCH($E317,$B$2:$B$5,0))*$F317/SUMIFS($F:$F,$E:$E,$E317,$B:$B,$B317,AI:AI,1)*IF(B317=$B$10,0.9,1),0)</f>
        <v>4500</v>
      </c>
      <c r="AK317" s="24">
        <f t="shared" si="1319"/>
        <v>1</v>
      </c>
      <c r="AL317" s="24">
        <f>ROUND(INDEX($C$2:$C$5,MATCH($E317,$B$2:$B$5,0))*$G317/SUMIFS($G:$G,$E:$E,$E317,$B:$B,$B317,AK:AK,1)*IF(B317=$B$10,0.9,1),0)</f>
        <v>4500</v>
      </c>
      <c r="AM317" s="24">
        <f t="shared" si="1319"/>
        <v>1</v>
      </c>
      <c r="AN317" s="24">
        <f>ROUND(INDEX($C$2:$C$5,MATCH($E317,$B$2:$B$5,0))*$H317/SUMIFS($H:$H,$E:$E,$E317,$B:$B,$B317,AM:AM,1)*IF(B317=$B$10,0.9,1),0)</f>
        <v>4500</v>
      </c>
      <c r="AX317" s="4" t="str">
        <f t="shared" si="1101"/>
        <v>1,4500</v>
      </c>
      <c r="AY317" s="4" t="str">
        <f t="shared" si="1102"/>
        <v>1,4500</v>
      </c>
      <c r="AZ317" s="4" t="str">
        <f t="shared" si="1103"/>
        <v>1,4500</v>
      </c>
      <c r="BA317" s="4" t="str">
        <f t="shared" si="1104"/>
        <v>1,4500</v>
      </c>
      <c r="BB317" s="4" t="str">
        <f t="shared" si="1105"/>
        <v>1,4500</v>
      </c>
      <c r="BC317" s="4" t="str">
        <f t="shared" si="1106"/>
        <v>1,4500</v>
      </c>
      <c r="BD317" s="4" t="str">
        <f t="shared" si="1107"/>
        <v>1,4500</v>
      </c>
      <c r="BE317" s="4" t="str">
        <f t="shared" si="1108"/>
        <v>1,4500</v>
      </c>
      <c r="BF317" s="4" t="str">
        <f t="shared" si="1109"/>
        <v>1,4500</v>
      </c>
      <c r="BG317" s="4" t="str">
        <f t="shared" si="1110"/>
        <v>1,4500</v>
      </c>
      <c r="BH317" s="4" t="str">
        <f t="shared" si="1111"/>
        <v>1,4500</v>
      </c>
      <c r="BI317" s="4" t="str">
        <f t="shared" si="1112"/>
        <v>1,4500</v>
      </c>
      <c r="BJ317" s="4" t="str">
        <f t="shared" si="1113"/>
        <v>1,4500</v>
      </c>
    </row>
    <row r="318" customHeight="1" spans="1:62">
      <c r="A318" s="62">
        <f t="shared" si="1179"/>
        <v>1903</v>
      </c>
      <c r="B318" s="74" t="s">
        <v>139</v>
      </c>
      <c r="C318" s="64"/>
      <c r="D318" s="41" t="s">
        <v>361</v>
      </c>
      <c r="E318" s="62">
        <v>1</v>
      </c>
      <c r="F318" s="35">
        <v>1</v>
      </c>
      <c r="G318" s="35">
        <f t="shared" si="1114"/>
        <v>1</v>
      </c>
      <c r="H318" s="35">
        <v>1</v>
      </c>
      <c r="I318" s="35">
        <v>1</v>
      </c>
      <c r="J318" s="35">
        <v>1</v>
      </c>
      <c r="K318" s="35">
        <v>1</v>
      </c>
      <c r="L318" s="35">
        <v>1</v>
      </c>
      <c r="M318" s="35"/>
      <c r="N318">
        <f>INDEX($C$2:$C$5,MATCH(E318,$B$2:$B$5,0))</f>
        <v>13500</v>
      </c>
      <c r="O318" s="35">
        <v>1</v>
      </c>
      <c r="P318" s="24">
        <f>ROUND(INDEX($C$2:$C$5,MATCH($E318,$B$2:$B$5,0))*$F318/SUMIFS($F:$F,$E:$E,$E318,$B:$B,$B318,O:O,1)*IF(B318=$B$10,0.9,1),0)</f>
        <v>4500</v>
      </c>
      <c r="Q318" s="24">
        <f t="shared" ref="Q318:U318" si="1320">IF($L318&lt;=Q$8,1,0)</f>
        <v>1</v>
      </c>
      <c r="R318" s="24">
        <f>ROUND(INDEX($C$2:$C$5,MATCH($E318,$B$2:$B$5,0))*$I318/SUMIFS($I:$I,$E:$E,$E318,$B:$B,$B318,Q:Q,1)*IF(B318=$B$10,0.9,1),0)</f>
        <v>4500</v>
      </c>
      <c r="S318" s="24">
        <f t="shared" si="1320"/>
        <v>1</v>
      </c>
      <c r="T318" s="24">
        <f>ROUND(INDEX($C$2:$C$5,MATCH($E318,$B$2:$B$5,0))*$J318/SUMIFS($J:$J,$E:$E,$E318,$B:$B,$B318,S:S,1)*IF(B318=$B$10,0.9,1),0)</f>
        <v>4500</v>
      </c>
      <c r="U318" s="24">
        <f t="shared" si="1320"/>
        <v>1</v>
      </c>
      <c r="V318" s="24">
        <f>ROUND(INDEX($C$2:$C$5,MATCH($E318,$B$2:$B$5,0))*$K318/SUMIFS($K:$K,$E:$E,$E318,$B:$B,$B318,U:U,1)*IF(B318=$B$10,0.9,1),0)</f>
        <v>4500</v>
      </c>
      <c r="W318" s="24">
        <f t="shared" ref="W318:AA318" si="1321">IF($L318&lt;=W$8,1,0)</f>
        <v>1</v>
      </c>
      <c r="X318" s="24">
        <f>ROUND(INDEX($C$2:$C$5,MATCH($E318,$B$2:$B$5,0))*$F318/SUMIFS($F:$F,$E:$E,$E318,$B:$B,$B318,W:W,1)*IF(B318=$B$10,0.9,1),0)</f>
        <v>4500</v>
      </c>
      <c r="Y318" s="24">
        <f t="shared" si="1321"/>
        <v>1</v>
      </c>
      <c r="Z318" s="24">
        <f>ROUND(INDEX($C$2:$C$5,MATCH($E318,$B$2:$B$5,0))*$G318/SUMIFS($G:$G,$E:$E,$E318,$B:$B,$B318,Y:Y,1)*IF(B318=$B$10,0.9,1),0)</f>
        <v>4500</v>
      </c>
      <c r="AA318" s="24">
        <f t="shared" si="1321"/>
        <v>1</v>
      </c>
      <c r="AB318" s="24">
        <f>ROUND(INDEX($C$2:$C$5,MATCH($E318,$B$2:$B$5,0))*$H318/SUMIFS($H:$H,$E:$E,$E318,$B:$B,$B318,AA:AA,1)*IF(B318=$B$10,0.9,1),0)</f>
        <v>4500</v>
      </c>
      <c r="AC318" s="24">
        <f t="shared" ref="AC318:AG318" si="1322">IF($L318&lt;=AC$8,1,0)</f>
        <v>1</v>
      </c>
      <c r="AD318" s="24">
        <f>ROUND(INDEX($C$2:$C$5,MATCH($E318,$B$2:$B$5,0))*$F318/SUMIFS($F:$F,$E:$E,$E318,$B:$B,$B318,AC:AC,1)*IF(B318=$B$10,0.9,1),0)</f>
        <v>4500</v>
      </c>
      <c r="AE318" s="24">
        <f t="shared" si="1322"/>
        <v>1</v>
      </c>
      <c r="AF318" s="24">
        <f>ROUND(INDEX($C$2:$C$5,MATCH($E318,$B$2:$B$5,0))*$G318/SUMIFS($G:$G,$E:$E,$E318,$B:$B,$B318,AE:AE,1)*IF(B318=$B$10,0.9,1),0)</f>
        <v>4500</v>
      </c>
      <c r="AG318" s="24">
        <f t="shared" si="1322"/>
        <v>1</v>
      </c>
      <c r="AH318" s="24">
        <f>ROUND(INDEX($C$2:$C$5,MATCH($E318,$B$2:$B$5,0))*$H318/SUMIFS($H:$H,$E:$E,$E318,$B:$B,$B318,AG:AG,1)*IF(B318=$B$10,0.9,1),0)</f>
        <v>4500</v>
      </c>
      <c r="AI318" s="24">
        <f t="shared" ref="AI318:AM318" si="1323">IF($L318&lt;=AI$8,1,0)</f>
        <v>1</v>
      </c>
      <c r="AJ318" s="24">
        <f>ROUND(INDEX($C$2:$C$5,MATCH($E318,$B$2:$B$5,0))*$F318/SUMIFS($F:$F,$E:$E,$E318,$B:$B,$B318,AI:AI,1)*IF(B318=$B$10,0.9,1),0)</f>
        <v>4500</v>
      </c>
      <c r="AK318" s="24">
        <f t="shared" si="1323"/>
        <v>1</v>
      </c>
      <c r="AL318" s="24">
        <f>ROUND(INDEX($C$2:$C$5,MATCH($E318,$B$2:$B$5,0))*$G318/SUMIFS($G:$G,$E:$E,$E318,$B:$B,$B318,AK:AK,1)*IF(B318=$B$10,0.9,1),0)</f>
        <v>4500</v>
      </c>
      <c r="AM318" s="24">
        <f t="shared" si="1323"/>
        <v>1</v>
      </c>
      <c r="AN318" s="24">
        <f>ROUND(INDEX($C$2:$C$5,MATCH($E318,$B$2:$B$5,0))*$H318/SUMIFS($H:$H,$E:$E,$E318,$B:$B,$B318,AM:AM,1)*IF(B318=$B$10,0.9,1),0)</f>
        <v>4500</v>
      </c>
      <c r="AX318" s="4" t="str">
        <f t="shared" si="1101"/>
        <v>1,4500</v>
      </c>
      <c r="AY318" s="4" t="str">
        <f t="shared" si="1102"/>
        <v>1,4500</v>
      </c>
      <c r="AZ318" s="4" t="str">
        <f t="shared" si="1103"/>
        <v>1,4500</v>
      </c>
      <c r="BA318" s="4" t="str">
        <f t="shared" si="1104"/>
        <v>1,4500</v>
      </c>
      <c r="BB318" s="4" t="str">
        <f t="shared" si="1105"/>
        <v>1,4500</v>
      </c>
      <c r="BC318" s="4" t="str">
        <f t="shared" si="1106"/>
        <v>1,4500</v>
      </c>
      <c r="BD318" s="4" t="str">
        <f t="shared" si="1107"/>
        <v>1,4500</v>
      </c>
      <c r="BE318" s="4" t="str">
        <f t="shared" si="1108"/>
        <v>1,4500</v>
      </c>
      <c r="BF318" s="4" t="str">
        <f t="shared" si="1109"/>
        <v>1,4500</v>
      </c>
      <c r="BG318" s="4" t="str">
        <f t="shared" si="1110"/>
        <v>1,4500</v>
      </c>
      <c r="BH318" s="4" t="str">
        <f t="shared" si="1111"/>
        <v>1,4500</v>
      </c>
      <c r="BI318" s="4" t="str">
        <f t="shared" si="1112"/>
        <v>1,4500</v>
      </c>
      <c r="BJ318" s="4" t="str">
        <f t="shared" si="1113"/>
        <v>1,4500</v>
      </c>
    </row>
    <row r="319" customHeight="1" spans="1:62">
      <c r="A319" s="62">
        <f t="shared" si="1179"/>
        <v>1911</v>
      </c>
      <c r="B319" s="74" t="s">
        <v>139</v>
      </c>
      <c r="C319" s="64"/>
      <c r="D319" s="44" t="s">
        <v>362</v>
      </c>
      <c r="E319" s="65">
        <v>2</v>
      </c>
      <c r="F319" s="35">
        <v>1</v>
      </c>
      <c r="G319" s="35">
        <f t="shared" si="1114"/>
        <v>1</v>
      </c>
      <c r="H319" s="35">
        <v>1</v>
      </c>
      <c r="I319" s="35">
        <v>1</v>
      </c>
      <c r="J319" s="35">
        <v>1</v>
      </c>
      <c r="K319" s="35">
        <v>1</v>
      </c>
      <c r="L319" s="35">
        <v>1</v>
      </c>
      <c r="M319" s="35"/>
      <c r="N319">
        <f>INDEX($C$2:$C$5,MATCH(E319,$B$2:$B$5,0))</f>
        <v>4500</v>
      </c>
      <c r="O319" s="35">
        <v>1</v>
      </c>
      <c r="P319" s="24">
        <f>ROUND(INDEX($C$2:$C$5,MATCH($E319,$B$2:$B$5,0))*$F319/SUMIFS($F:$F,$E:$E,$E319,$B:$B,$B319,O:O,1)*IF(B319=$B$10,0.9,1),0)</f>
        <v>750</v>
      </c>
      <c r="Q319" s="24">
        <f t="shared" ref="Q319:U319" si="1324">IF($L319&lt;=Q$8,1,0)</f>
        <v>1</v>
      </c>
      <c r="R319" s="24">
        <f>ROUND(INDEX($C$2:$C$5,MATCH($E319,$B$2:$B$5,0))*$I319/SUMIFS($I:$I,$E:$E,$E319,$B:$B,$B319,Q:Q,1)*IF(B319=$B$10,0.9,1),0)</f>
        <v>900</v>
      </c>
      <c r="S319" s="24">
        <f t="shared" si="1324"/>
        <v>1</v>
      </c>
      <c r="T319" s="24">
        <f>ROUND(INDEX($C$2:$C$5,MATCH($E319,$B$2:$B$5,0))*$J319/SUMIFS($J:$J,$E:$E,$E319,$B:$B,$B319,S:S,1)*IF(B319=$B$10,0.9,1),0)</f>
        <v>900</v>
      </c>
      <c r="U319" s="24">
        <f t="shared" si="1324"/>
        <v>1</v>
      </c>
      <c r="V319" s="24">
        <f>ROUND(INDEX($C$2:$C$5,MATCH($E319,$B$2:$B$5,0))*$K319/SUMIFS($K:$K,$E:$E,$E319,$B:$B,$B319,U:U,1)*IF(B319=$B$10,0.9,1),0)</f>
        <v>900</v>
      </c>
      <c r="W319" s="24">
        <f t="shared" ref="W319:AA319" si="1325">IF($L319&lt;=W$8,1,0)</f>
        <v>1</v>
      </c>
      <c r="X319" s="24">
        <f>ROUND(INDEX($C$2:$C$5,MATCH($E319,$B$2:$B$5,0))*$F319/SUMIFS($F:$F,$E:$E,$E319,$B:$B,$B319,W:W,1)*IF(B319=$B$10,0.9,1),0)</f>
        <v>750</v>
      </c>
      <c r="Y319" s="24">
        <f t="shared" si="1325"/>
        <v>1</v>
      </c>
      <c r="Z319" s="24">
        <f>ROUND(INDEX($C$2:$C$5,MATCH($E319,$B$2:$B$5,0))*$G319/SUMIFS($G:$G,$E:$E,$E319,$B:$B,$B319,Y:Y,1)*IF(B319=$B$10,0.9,1),0)</f>
        <v>750</v>
      </c>
      <c r="AA319" s="24">
        <f t="shared" si="1325"/>
        <v>1</v>
      </c>
      <c r="AB319" s="24">
        <f>ROUND(INDEX($C$2:$C$5,MATCH($E319,$B$2:$B$5,0))*$H319/SUMIFS($H:$H,$E:$E,$E319,$B:$B,$B319,AA:AA,1)*IF(B319=$B$10,0.9,1),0)</f>
        <v>750</v>
      </c>
      <c r="AC319" s="24">
        <f t="shared" ref="AC319:AG319" si="1326">IF($L319&lt;=AC$8,1,0)</f>
        <v>1</v>
      </c>
      <c r="AD319" s="24">
        <f>ROUND(INDEX($C$2:$C$5,MATCH($E319,$B$2:$B$5,0))*$F319/SUMIFS($F:$F,$E:$E,$E319,$B:$B,$B319,AC:AC,1)*IF(B319=$B$10,0.9,1),0)</f>
        <v>750</v>
      </c>
      <c r="AE319" s="24">
        <f t="shared" si="1326"/>
        <v>1</v>
      </c>
      <c r="AF319" s="24">
        <f>ROUND(INDEX($C$2:$C$5,MATCH($E319,$B$2:$B$5,0))*$G319/SUMIFS($G:$G,$E:$E,$E319,$B:$B,$B319,AE:AE,1)*IF(B319=$B$10,0.9,1),0)</f>
        <v>750</v>
      </c>
      <c r="AG319" s="24">
        <f t="shared" si="1326"/>
        <v>1</v>
      </c>
      <c r="AH319" s="24">
        <f>ROUND(INDEX($C$2:$C$5,MATCH($E319,$B$2:$B$5,0))*$H319/SUMIFS($H:$H,$E:$E,$E319,$B:$B,$B319,AG:AG,1)*IF(B319=$B$10,0.9,1),0)</f>
        <v>750</v>
      </c>
      <c r="AI319" s="24">
        <f t="shared" ref="AI319:AM319" si="1327">IF($L319&lt;=AI$8,1,0)</f>
        <v>1</v>
      </c>
      <c r="AJ319" s="24">
        <f>ROUND(INDEX($C$2:$C$5,MATCH($E319,$B$2:$B$5,0))*$F319/SUMIFS($F:$F,$E:$E,$E319,$B:$B,$B319,AI:AI,1)*IF(B319=$B$10,0.9,1),0)</f>
        <v>750</v>
      </c>
      <c r="AK319" s="24">
        <f t="shared" si="1327"/>
        <v>1</v>
      </c>
      <c r="AL319" s="24">
        <f>ROUND(INDEX($C$2:$C$5,MATCH($E319,$B$2:$B$5,0))*$G319/SUMIFS($G:$G,$E:$E,$E319,$B:$B,$B319,AK:AK,1)*IF(B319=$B$10,0.9,1),0)</f>
        <v>750</v>
      </c>
      <c r="AM319" s="24">
        <f t="shared" si="1327"/>
        <v>1</v>
      </c>
      <c r="AN319" s="24">
        <f>ROUND(INDEX($C$2:$C$5,MATCH($E319,$B$2:$B$5,0))*$H319/SUMIFS($H:$H,$E:$E,$E319,$B:$B,$B319,AM:AM,1)*IF(B319=$B$10,0.9,1),0)</f>
        <v>750</v>
      </c>
      <c r="AX319" s="4" t="str">
        <f t="shared" si="1101"/>
        <v>1,750</v>
      </c>
      <c r="AY319" s="4" t="str">
        <f t="shared" si="1102"/>
        <v>1,900</v>
      </c>
      <c r="AZ319" s="4" t="str">
        <f t="shared" si="1103"/>
        <v>1,900</v>
      </c>
      <c r="BA319" s="4" t="str">
        <f t="shared" si="1104"/>
        <v>1,900</v>
      </c>
      <c r="BB319" s="4" t="str">
        <f t="shared" si="1105"/>
        <v>1,750</v>
      </c>
      <c r="BC319" s="4" t="str">
        <f t="shared" si="1106"/>
        <v>1,750</v>
      </c>
      <c r="BD319" s="4" t="str">
        <f t="shared" si="1107"/>
        <v>1,750</v>
      </c>
      <c r="BE319" s="4" t="str">
        <f t="shared" si="1108"/>
        <v>1,750</v>
      </c>
      <c r="BF319" s="4" t="str">
        <f t="shared" si="1109"/>
        <v>1,750</v>
      </c>
      <c r="BG319" s="4" t="str">
        <f t="shared" si="1110"/>
        <v>1,750</v>
      </c>
      <c r="BH319" s="4" t="str">
        <f t="shared" si="1111"/>
        <v>1,750</v>
      </c>
      <c r="BI319" s="4" t="str">
        <f t="shared" si="1112"/>
        <v>1,750</v>
      </c>
      <c r="BJ319" s="4" t="str">
        <f t="shared" si="1113"/>
        <v>1,750</v>
      </c>
    </row>
    <row r="320" customHeight="1" spans="1:62">
      <c r="A320" s="62">
        <f t="shared" si="1179"/>
        <v>1912</v>
      </c>
      <c r="B320" s="74" t="s">
        <v>139</v>
      </c>
      <c r="C320" s="64"/>
      <c r="D320" s="44" t="s">
        <v>363</v>
      </c>
      <c r="E320" s="65">
        <v>2</v>
      </c>
      <c r="F320" s="35">
        <v>1</v>
      </c>
      <c r="G320" s="35">
        <f t="shared" si="1114"/>
        <v>1</v>
      </c>
      <c r="H320" s="35">
        <v>1</v>
      </c>
      <c r="I320" s="35">
        <v>1</v>
      </c>
      <c r="J320" s="35">
        <v>1</v>
      </c>
      <c r="K320" s="35">
        <v>1</v>
      </c>
      <c r="L320" s="35">
        <v>1</v>
      </c>
      <c r="M320" s="35" t="s">
        <v>136</v>
      </c>
      <c r="N320">
        <f>INDEX($C$2:$C$5,MATCH(E320,$B$2:$B$5,0))</f>
        <v>4500</v>
      </c>
      <c r="O320" s="35">
        <v>1</v>
      </c>
      <c r="P320" s="24">
        <f>ROUND(INDEX($C$2:$C$5,MATCH($E320,$B$2:$B$5,0))*$F320/SUMIFS($F:$F,$E:$E,$E320,$B:$B,$B320,O:O,1)*IF(B320=$B$10,0.9,1),0)</f>
        <v>750</v>
      </c>
      <c r="Q320" s="24">
        <f t="shared" ref="Q320:U320" si="1328">IF($L320&lt;=Q$8,1,0)</f>
        <v>1</v>
      </c>
      <c r="R320" s="24">
        <f>ROUND(INDEX($C$2:$C$5,MATCH($E320,$B$2:$B$5,0))*$I320/SUMIFS($I:$I,$E:$E,$E320,$B:$B,$B320,Q:Q,1)*IF(B320=$B$10,0.9,1),0)</f>
        <v>900</v>
      </c>
      <c r="S320" s="24">
        <f t="shared" si="1328"/>
        <v>1</v>
      </c>
      <c r="T320" s="24">
        <f>ROUND(INDEX($C$2:$C$5,MATCH($E320,$B$2:$B$5,0))*$J320/SUMIFS($J:$J,$E:$E,$E320,$B:$B,$B320,S:S,1)*IF(B320=$B$10,0.9,1),0)</f>
        <v>900</v>
      </c>
      <c r="U320" s="24">
        <f t="shared" si="1328"/>
        <v>1</v>
      </c>
      <c r="V320" s="24">
        <f>ROUND(INDEX($C$2:$C$5,MATCH($E320,$B$2:$B$5,0))*$K320/SUMIFS($K:$K,$E:$E,$E320,$B:$B,$B320,U:U,1)*IF(B320=$B$10,0.9,1),0)</f>
        <v>900</v>
      </c>
      <c r="W320" s="24">
        <f t="shared" ref="W320:AA320" si="1329">IF($L320&lt;=W$8,1,0)</f>
        <v>1</v>
      </c>
      <c r="X320" s="24">
        <f>ROUND(INDEX($C$2:$C$5,MATCH($E320,$B$2:$B$5,0))*$F320/SUMIFS($F:$F,$E:$E,$E320,$B:$B,$B320,W:W,1)*IF(B320=$B$10,0.9,1),0)</f>
        <v>750</v>
      </c>
      <c r="Y320" s="24">
        <f t="shared" si="1329"/>
        <v>1</v>
      </c>
      <c r="Z320" s="24">
        <f>ROUND(INDEX($C$2:$C$5,MATCH($E320,$B$2:$B$5,0))*$G320/SUMIFS($G:$G,$E:$E,$E320,$B:$B,$B320,Y:Y,1)*IF(B320=$B$10,0.9,1),0)</f>
        <v>750</v>
      </c>
      <c r="AA320" s="24">
        <f t="shared" si="1329"/>
        <v>1</v>
      </c>
      <c r="AB320" s="24">
        <f>ROUND(INDEX($C$2:$C$5,MATCH($E320,$B$2:$B$5,0))*$H320/SUMIFS($H:$H,$E:$E,$E320,$B:$B,$B320,AA:AA,1)*IF(B320=$B$10,0.9,1),0)</f>
        <v>750</v>
      </c>
      <c r="AC320" s="24">
        <f t="shared" ref="AC320:AG320" si="1330">IF($L320&lt;=AC$8,1,0)</f>
        <v>1</v>
      </c>
      <c r="AD320" s="24">
        <f>ROUND(INDEX($C$2:$C$5,MATCH($E320,$B$2:$B$5,0))*$F320/SUMIFS($F:$F,$E:$E,$E320,$B:$B,$B320,AC:AC,1)*IF(B320=$B$10,0.9,1),0)</f>
        <v>750</v>
      </c>
      <c r="AE320" s="24">
        <f t="shared" si="1330"/>
        <v>1</v>
      </c>
      <c r="AF320" s="24">
        <f>ROUND(INDEX($C$2:$C$5,MATCH($E320,$B$2:$B$5,0))*$G320/SUMIFS($G:$G,$E:$E,$E320,$B:$B,$B320,AE:AE,1)*IF(B320=$B$10,0.9,1),0)</f>
        <v>750</v>
      </c>
      <c r="AG320" s="24">
        <f t="shared" si="1330"/>
        <v>1</v>
      </c>
      <c r="AH320" s="24">
        <f>ROUND(INDEX($C$2:$C$5,MATCH($E320,$B$2:$B$5,0))*$H320/SUMIFS($H:$H,$E:$E,$E320,$B:$B,$B320,AG:AG,1)*IF(B320=$B$10,0.9,1),0)</f>
        <v>750</v>
      </c>
      <c r="AI320" s="24">
        <f t="shared" ref="AI320:AM320" si="1331">IF($L320&lt;=AI$8,1,0)</f>
        <v>1</v>
      </c>
      <c r="AJ320" s="24">
        <f>ROUND(INDEX($C$2:$C$5,MATCH($E320,$B$2:$B$5,0))*$F320/SUMIFS($F:$F,$E:$E,$E320,$B:$B,$B320,AI:AI,1)*IF(B320=$B$10,0.9,1),0)</f>
        <v>750</v>
      </c>
      <c r="AK320" s="24">
        <f t="shared" si="1331"/>
        <v>1</v>
      </c>
      <c r="AL320" s="24">
        <f>ROUND(INDEX($C$2:$C$5,MATCH($E320,$B$2:$B$5,0))*$G320/SUMIFS($G:$G,$E:$E,$E320,$B:$B,$B320,AK:AK,1)*IF(B320=$B$10,0.9,1),0)</f>
        <v>750</v>
      </c>
      <c r="AM320" s="24">
        <f t="shared" si="1331"/>
        <v>1</v>
      </c>
      <c r="AN320" s="24">
        <f>ROUND(INDEX($C$2:$C$5,MATCH($E320,$B$2:$B$5,0))*$H320/SUMIFS($H:$H,$E:$E,$E320,$B:$B,$B320,AM:AM,1)*IF(B320=$B$10,0.9,1),0)</f>
        <v>750</v>
      </c>
      <c r="AX320" s="4" t="str">
        <f t="shared" si="1101"/>
        <v>1,750</v>
      </c>
      <c r="AY320" s="4" t="str">
        <f t="shared" si="1102"/>
        <v>1,900</v>
      </c>
      <c r="AZ320" s="4" t="str">
        <f t="shared" si="1103"/>
        <v>1,900</v>
      </c>
      <c r="BA320" s="4" t="str">
        <f t="shared" si="1104"/>
        <v>1,900</v>
      </c>
      <c r="BB320" s="4" t="str">
        <f t="shared" si="1105"/>
        <v>1,750</v>
      </c>
      <c r="BC320" s="4" t="str">
        <f t="shared" si="1106"/>
        <v>1,750</v>
      </c>
      <c r="BD320" s="4" t="str">
        <f t="shared" si="1107"/>
        <v>1,750</v>
      </c>
      <c r="BE320" s="4" t="str">
        <f t="shared" si="1108"/>
        <v>1,750</v>
      </c>
      <c r="BF320" s="4" t="str">
        <f t="shared" si="1109"/>
        <v>1,750</v>
      </c>
      <c r="BG320" s="4" t="str">
        <f t="shared" si="1110"/>
        <v>1,750</v>
      </c>
      <c r="BH320" s="4" t="str">
        <f t="shared" si="1111"/>
        <v>1,750</v>
      </c>
      <c r="BI320" s="4" t="str">
        <f t="shared" si="1112"/>
        <v>1,750</v>
      </c>
      <c r="BJ320" s="4" t="str">
        <f t="shared" si="1113"/>
        <v>1,750</v>
      </c>
    </row>
    <row r="321" customHeight="1" spans="1:62">
      <c r="A321" s="62">
        <f t="shared" si="1179"/>
        <v>1913</v>
      </c>
      <c r="B321" s="74" t="s">
        <v>139</v>
      </c>
      <c r="C321" s="64"/>
      <c r="D321" s="44" t="s">
        <v>364</v>
      </c>
      <c r="E321" s="66">
        <v>2</v>
      </c>
      <c r="F321" s="35">
        <v>1</v>
      </c>
      <c r="G321" s="35">
        <f t="shared" si="1114"/>
        <v>1</v>
      </c>
      <c r="H321" s="35">
        <v>1</v>
      </c>
      <c r="I321" s="35">
        <v>1</v>
      </c>
      <c r="J321" s="35">
        <v>1</v>
      </c>
      <c r="K321" s="35">
        <v>1</v>
      </c>
      <c r="L321" s="35">
        <v>1</v>
      </c>
      <c r="M321" s="35"/>
      <c r="N321">
        <f>INDEX($C$2:$C$5,MATCH(E321,$B$2:$B$5,0))</f>
        <v>4500</v>
      </c>
      <c r="O321" s="35">
        <v>1</v>
      </c>
      <c r="P321" s="24">
        <f>ROUND(INDEX($C$2:$C$5,MATCH($E321,$B$2:$B$5,0))*$F321/SUMIFS($F:$F,$E:$E,$E321,$B:$B,$B321,O:O,1)*IF(B321=$B$10,0.9,1),0)</f>
        <v>750</v>
      </c>
      <c r="Q321" s="24">
        <f t="shared" ref="Q321:U321" si="1332">IF($L321&lt;=Q$8,1,0)</f>
        <v>1</v>
      </c>
      <c r="R321" s="24">
        <f>ROUND(INDEX($C$2:$C$5,MATCH($E321,$B$2:$B$5,0))*$I321/SUMIFS($I:$I,$E:$E,$E321,$B:$B,$B321,Q:Q,1)*IF(B321=$B$10,0.9,1),0)</f>
        <v>900</v>
      </c>
      <c r="S321" s="24">
        <f t="shared" si="1332"/>
        <v>1</v>
      </c>
      <c r="T321" s="24">
        <f>ROUND(INDEX($C$2:$C$5,MATCH($E321,$B$2:$B$5,0))*$J321/SUMIFS($J:$J,$E:$E,$E321,$B:$B,$B321,S:S,1)*IF(B321=$B$10,0.9,1),0)</f>
        <v>900</v>
      </c>
      <c r="U321" s="24">
        <f t="shared" si="1332"/>
        <v>1</v>
      </c>
      <c r="V321" s="24">
        <f>ROUND(INDEX($C$2:$C$5,MATCH($E321,$B$2:$B$5,0))*$K321/SUMIFS($K:$K,$E:$E,$E321,$B:$B,$B321,U:U,1)*IF(B321=$B$10,0.9,1),0)</f>
        <v>900</v>
      </c>
      <c r="W321" s="24">
        <f t="shared" ref="W321:AA321" si="1333">IF($L321&lt;=W$8,1,0)</f>
        <v>1</v>
      </c>
      <c r="X321" s="24">
        <f>ROUND(INDEX($C$2:$C$5,MATCH($E321,$B$2:$B$5,0))*$F321/SUMIFS($F:$F,$E:$E,$E321,$B:$B,$B321,W:W,1)*IF(B321=$B$10,0.9,1),0)</f>
        <v>750</v>
      </c>
      <c r="Y321" s="24">
        <f t="shared" si="1333"/>
        <v>1</v>
      </c>
      <c r="Z321" s="24">
        <f>ROUND(INDEX($C$2:$C$5,MATCH($E321,$B$2:$B$5,0))*$G321/SUMIFS($G:$G,$E:$E,$E321,$B:$B,$B321,Y:Y,1)*IF(B321=$B$10,0.9,1),0)</f>
        <v>750</v>
      </c>
      <c r="AA321" s="24">
        <f t="shared" si="1333"/>
        <v>1</v>
      </c>
      <c r="AB321" s="24">
        <f>ROUND(INDEX($C$2:$C$5,MATCH($E321,$B$2:$B$5,0))*$H321/SUMIFS($H:$H,$E:$E,$E321,$B:$B,$B321,AA:AA,1)*IF(B321=$B$10,0.9,1),0)</f>
        <v>750</v>
      </c>
      <c r="AC321" s="24">
        <f t="shared" ref="AC321:AG321" si="1334">IF($L321&lt;=AC$8,1,0)</f>
        <v>1</v>
      </c>
      <c r="AD321" s="24">
        <f>ROUND(INDEX($C$2:$C$5,MATCH($E321,$B$2:$B$5,0))*$F321/SUMIFS($F:$F,$E:$E,$E321,$B:$B,$B321,AC:AC,1)*IF(B321=$B$10,0.9,1),0)</f>
        <v>750</v>
      </c>
      <c r="AE321" s="24">
        <f t="shared" si="1334"/>
        <v>1</v>
      </c>
      <c r="AF321" s="24">
        <f>ROUND(INDEX($C$2:$C$5,MATCH($E321,$B$2:$B$5,0))*$G321/SUMIFS($G:$G,$E:$E,$E321,$B:$B,$B321,AE:AE,1)*IF(B321=$B$10,0.9,1),0)</f>
        <v>750</v>
      </c>
      <c r="AG321" s="24">
        <f t="shared" si="1334"/>
        <v>1</v>
      </c>
      <c r="AH321" s="24">
        <f>ROUND(INDEX($C$2:$C$5,MATCH($E321,$B$2:$B$5,0))*$H321/SUMIFS($H:$H,$E:$E,$E321,$B:$B,$B321,AG:AG,1)*IF(B321=$B$10,0.9,1),0)</f>
        <v>750</v>
      </c>
      <c r="AI321" s="24">
        <f t="shared" ref="AI321:AM321" si="1335">IF($L321&lt;=AI$8,1,0)</f>
        <v>1</v>
      </c>
      <c r="AJ321" s="24">
        <f>ROUND(INDEX($C$2:$C$5,MATCH($E321,$B$2:$B$5,0))*$F321/SUMIFS($F:$F,$E:$E,$E321,$B:$B,$B321,AI:AI,1)*IF(B321=$B$10,0.9,1),0)</f>
        <v>750</v>
      </c>
      <c r="AK321" s="24">
        <f t="shared" si="1335"/>
        <v>1</v>
      </c>
      <c r="AL321" s="24">
        <f>ROUND(INDEX($C$2:$C$5,MATCH($E321,$B$2:$B$5,0))*$G321/SUMIFS($G:$G,$E:$E,$E321,$B:$B,$B321,AK:AK,1)*IF(B321=$B$10,0.9,1),0)</f>
        <v>750</v>
      </c>
      <c r="AM321" s="24">
        <f t="shared" si="1335"/>
        <v>1</v>
      </c>
      <c r="AN321" s="24">
        <f>ROUND(INDEX($C$2:$C$5,MATCH($E321,$B$2:$B$5,0))*$H321/SUMIFS($H:$H,$E:$E,$E321,$B:$B,$B321,AM:AM,1)*IF(B321=$B$10,0.9,1),0)</f>
        <v>750</v>
      </c>
      <c r="AX321" s="4" t="str">
        <f t="shared" si="1101"/>
        <v>1,750</v>
      </c>
      <c r="AY321" s="4" t="str">
        <f t="shared" si="1102"/>
        <v>1,900</v>
      </c>
      <c r="AZ321" s="4" t="str">
        <f t="shared" si="1103"/>
        <v>1,900</v>
      </c>
      <c r="BA321" s="4" t="str">
        <f t="shared" si="1104"/>
        <v>1,900</v>
      </c>
      <c r="BB321" s="4" t="str">
        <f t="shared" si="1105"/>
        <v>1,750</v>
      </c>
      <c r="BC321" s="4" t="str">
        <f t="shared" si="1106"/>
        <v>1,750</v>
      </c>
      <c r="BD321" s="4" t="str">
        <f t="shared" si="1107"/>
        <v>1,750</v>
      </c>
      <c r="BE321" s="4" t="str">
        <f t="shared" si="1108"/>
        <v>1,750</v>
      </c>
      <c r="BF321" s="4" t="str">
        <f t="shared" si="1109"/>
        <v>1,750</v>
      </c>
      <c r="BG321" s="4" t="str">
        <f t="shared" si="1110"/>
        <v>1,750</v>
      </c>
      <c r="BH321" s="4" t="str">
        <f t="shared" si="1111"/>
        <v>1,750</v>
      </c>
      <c r="BI321" s="4" t="str">
        <f t="shared" si="1112"/>
        <v>1,750</v>
      </c>
      <c r="BJ321" s="4" t="str">
        <f t="shared" si="1113"/>
        <v>1,750</v>
      </c>
    </row>
    <row r="322" customHeight="1" spans="1:62">
      <c r="A322" s="62">
        <f t="shared" si="1179"/>
        <v>1914</v>
      </c>
      <c r="B322" s="74" t="s">
        <v>139</v>
      </c>
      <c r="C322" s="64"/>
      <c r="D322" s="44" t="s">
        <v>365</v>
      </c>
      <c r="E322" s="66">
        <v>2</v>
      </c>
      <c r="F322" s="35">
        <v>1</v>
      </c>
      <c r="G322" s="35">
        <f t="shared" si="1114"/>
        <v>1</v>
      </c>
      <c r="H322" s="35">
        <v>1</v>
      </c>
      <c r="I322" s="35">
        <v>1</v>
      </c>
      <c r="J322" s="35">
        <v>1</v>
      </c>
      <c r="K322" s="35">
        <v>1</v>
      </c>
      <c r="L322" s="35">
        <v>1</v>
      </c>
      <c r="M322" s="35" t="s">
        <v>136</v>
      </c>
      <c r="N322">
        <f>INDEX($C$2:$C$5,MATCH(E322,$B$2:$B$5,0))</f>
        <v>4500</v>
      </c>
      <c r="O322" s="35">
        <v>1</v>
      </c>
      <c r="P322" s="24">
        <f>ROUND(INDEX($C$2:$C$5,MATCH($E322,$B$2:$B$5,0))*$F322/SUMIFS($F:$F,$E:$E,$E322,$B:$B,$B322,O:O,1)*IF(B322=$B$10,0.9,1),0)</f>
        <v>750</v>
      </c>
      <c r="Q322" s="24">
        <f t="shared" ref="Q322:U322" si="1336">IF($L322&lt;=Q$8,1,0)</f>
        <v>1</v>
      </c>
      <c r="R322" s="24">
        <f>ROUND(INDEX($C$2:$C$5,MATCH($E322,$B$2:$B$5,0))*$I322/SUMIFS($I:$I,$E:$E,$E322,$B:$B,$B322,Q:Q,1)*IF(B322=$B$10,0.9,1),0)</f>
        <v>900</v>
      </c>
      <c r="S322" s="24">
        <f t="shared" si="1336"/>
        <v>1</v>
      </c>
      <c r="T322" s="24">
        <f>ROUND(INDEX($C$2:$C$5,MATCH($E322,$B$2:$B$5,0))*$J322/SUMIFS($J:$J,$E:$E,$E322,$B:$B,$B322,S:S,1)*IF(B322=$B$10,0.9,1),0)</f>
        <v>900</v>
      </c>
      <c r="U322" s="24">
        <f t="shared" si="1336"/>
        <v>1</v>
      </c>
      <c r="V322" s="24">
        <f>ROUND(INDEX($C$2:$C$5,MATCH($E322,$B$2:$B$5,0))*$K322/SUMIFS($K:$K,$E:$E,$E322,$B:$B,$B322,U:U,1)*IF(B322=$B$10,0.9,1),0)</f>
        <v>900</v>
      </c>
      <c r="W322" s="24">
        <f t="shared" ref="W322:AA322" si="1337">IF($L322&lt;=W$8,1,0)</f>
        <v>1</v>
      </c>
      <c r="X322" s="24">
        <f>ROUND(INDEX($C$2:$C$5,MATCH($E322,$B$2:$B$5,0))*$F322/SUMIFS($F:$F,$E:$E,$E322,$B:$B,$B322,W:W,1)*IF(B322=$B$10,0.9,1),0)</f>
        <v>750</v>
      </c>
      <c r="Y322" s="24">
        <f t="shared" si="1337"/>
        <v>1</v>
      </c>
      <c r="Z322" s="24">
        <f>ROUND(INDEX($C$2:$C$5,MATCH($E322,$B$2:$B$5,0))*$G322/SUMIFS($G:$G,$E:$E,$E322,$B:$B,$B322,Y:Y,1)*IF(B322=$B$10,0.9,1),0)</f>
        <v>750</v>
      </c>
      <c r="AA322" s="24">
        <f t="shared" si="1337"/>
        <v>1</v>
      </c>
      <c r="AB322" s="24">
        <f>ROUND(INDEX($C$2:$C$5,MATCH($E322,$B$2:$B$5,0))*$H322/SUMIFS($H:$H,$E:$E,$E322,$B:$B,$B322,AA:AA,1)*IF(B322=$B$10,0.9,1),0)</f>
        <v>750</v>
      </c>
      <c r="AC322" s="24">
        <f t="shared" ref="AC322:AG322" si="1338">IF($L322&lt;=AC$8,1,0)</f>
        <v>1</v>
      </c>
      <c r="AD322" s="24">
        <f>ROUND(INDEX($C$2:$C$5,MATCH($E322,$B$2:$B$5,0))*$F322/SUMIFS($F:$F,$E:$E,$E322,$B:$B,$B322,AC:AC,1)*IF(B322=$B$10,0.9,1),0)</f>
        <v>750</v>
      </c>
      <c r="AE322" s="24">
        <f t="shared" si="1338"/>
        <v>1</v>
      </c>
      <c r="AF322" s="24">
        <f>ROUND(INDEX($C$2:$C$5,MATCH($E322,$B$2:$B$5,0))*$G322/SUMIFS($G:$G,$E:$E,$E322,$B:$B,$B322,AE:AE,1)*IF(B322=$B$10,0.9,1),0)</f>
        <v>750</v>
      </c>
      <c r="AG322" s="24">
        <f t="shared" si="1338"/>
        <v>1</v>
      </c>
      <c r="AH322" s="24">
        <f>ROUND(INDEX($C$2:$C$5,MATCH($E322,$B$2:$B$5,0))*$H322/SUMIFS($H:$H,$E:$E,$E322,$B:$B,$B322,AG:AG,1)*IF(B322=$B$10,0.9,1),0)</f>
        <v>750</v>
      </c>
      <c r="AI322" s="24">
        <f t="shared" ref="AI322:AM322" si="1339">IF($L322&lt;=AI$8,1,0)</f>
        <v>1</v>
      </c>
      <c r="AJ322" s="24">
        <f>ROUND(INDEX($C$2:$C$5,MATCH($E322,$B$2:$B$5,0))*$F322/SUMIFS($F:$F,$E:$E,$E322,$B:$B,$B322,AI:AI,1)*IF(B322=$B$10,0.9,1),0)</f>
        <v>750</v>
      </c>
      <c r="AK322" s="24">
        <f t="shared" si="1339"/>
        <v>1</v>
      </c>
      <c r="AL322" s="24">
        <f>ROUND(INDEX($C$2:$C$5,MATCH($E322,$B$2:$B$5,0))*$G322/SUMIFS($G:$G,$E:$E,$E322,$B:$B,$B322,AK:AK,1)*IF(B322=$B$10,0.9,1),0)</f>
        <v>750</v>
      </c>
      <c r="AM322" s="24">
        <f t="shared" si="1339"/>
        <v>1</v>
      </c>
      <c r="AN322" s="24">
        <f>ROUND(INDEX($C$2:$C$5,MATCH($E322,$B$2:$B$5,0))*$H322/SUMIFS($H:$H,$E:$E,$E322,$B:$B,$B322,AM:AM,1)*IF(B322=$B$10,0.9,1),0)</f>
        <v>750</v>
      </c>
      <c r="AX322" s="4" t="str">
        <f t="shared" si="1101"/>
        <v>1,750</v>
      </c>
      <c r="AY322" s="4" t="str">
        <f t="shared" si="1102"/>
        <v>1,900</v>
      </c>
      <c r="AZ322" s="4" t="str">
        <f t="shared" si="1103"/>
        <v>1,900</v>
      </c>
      <c r="BA322" s="4" t="str">
        <f t="shared" si="1104"/>
        <v>1,900</v>
      </c>
      <c r="BB322" s="4" t="str">
        <f t="shared" si="1105"/>
        <v>1,750</v>
      </c>
      <c r="BC322" s="4" t="str">
        <f t="shared" si="1106"/>
        <v>1,750</v>
      </c>
      <c r="BD322" s="4" t="str">
        <f t="shared" si="1107"/>
        <v>1,750</v>
      </c>
      <c r="BE322" s="4" t="str">
        <f t="shared" si="1108"/>
        <v>1,750</v>
      </c>
      <c r="BF322" s="4" t="str">
        <f t="shared" si="1109"/>
        <v>1,750</v>
      </c>
      <c r="BG322" s="4" t="str">
        <f t="shared" si="1110"/>
        <v>1,750</v>
      </c>
      <c r="BH322" s="4" t="str">
        <f t="shared" si="1111"/>
        <v>1,750</v>
      </c>
      <c r="BI322" s="4" t="str">
        <f t="shared" si="1112"/>
        <v>1,750</v>
      </c>
      <c r="BJ322" s="4" t="str">
        <f t="shared" si="1113"/>
        <v>1,750</v>
      </c>
    </row>
    <row r="323" customHeight="1" spans="1:62">
      <c r="A323" s="62">
        <f t="shared" si="1179"/>
        <v>1921</v>
      </c>
      <c r="B323" s="74" t="s">
        <v>139</v>
      </c>
      <c r="C323" s="64" t="s">
        <v>218</v>
      </c>
      <c r="D323" s="46" t="s">
        <v>366</v>
      </c>
      <c r="E323" s="66">
        <v>3</v>
      </c>
      <c r="F323" s="35">
        <v>1</v>
      </c>
      <c r="G323" s="35">
        <f t="shared" si="1114"/>
        <v>1</v>
      </c>
      <c r="H323" s="35">
        <v>1</v>
      </c>
      <c r="I323" s="35">
        <v>1</v>
      </c>
      <c r="J323" s="35">
        <v>1</v>
      </c>
      <c r="K323" s="35">
        <v>1</v>
      </c>
      <c r="L323" s="35">
        <v>1</v>
      </c>
      <c r="M323" s="35" t="s">
        <v>136</v>
      </c>
      <c r="N323">
        <f>INDEX($C$2:$C$5,MATCH(E323,$B$2:$B$5,0))</f>
        <v>1500</v>
      </c>
      <c r="O323" s="35">
        <v>1</v>
      </c>
      <c r="P323" s="24">
        <f>ROUND(INDEX($C$2:$C$5,MATCH($E323,$B$2:$B$5,0))*$F323/SUMIFS($F:$F,$E:$E,$E323,$B:$B,$B323,O:O,1)*IF(B323=$B$10,0.9,1),0)</f>
        <v>250</v>
      </c>
      <c r="Q323" s="24">
        <f t="shared" ref="Q323:U323" si="1340">IF($L323&lt;=Q$8,1,0)</f>
        <v>1</v>
      </c>
      <c r="R323" s="24">
        <f>ROUND(INDEX($C$2:$C$5,MATCH($E323,$B$2:$B$5,0))*$I323/SUMIFS($I:$I,$E:$E,$E323,$B:$B,$B323,Q:Q,1)*IF(B323=$B$10,0.9,1),0)</f>
        <v>300</v>
      </c>
      <c r="S323" s="24">
        <f t="shared" si="1340"/>
        <v>1</v>
      </c>
      <c r="T323" s="24">
        <f>ROUND(INDEX($C$2:$C$5,MATCH($E323,$B$2:$B$5,0))*$J323/SUMIFS($J:$J,$E:$E,$E323,$B:$B,$B323,S:S,1)*IF(B323=$B$10,0.9,1),0)</f>
        <v>300</v>
      </c>
      <c r="U323" s="24">
        <f t="shared" si="1340"/>
        <v>1</v>
      </c>
      <c r="V323" s="24">
        <f>ROUND(INDEX($C$2:$C$5,MATCH($E323,$B$2:$B$5,0))*$K323/SUMIFS($K:$K,$E:$E,$E323,$B:$B,$B323,U:U,1)*IF(B323=$B$10,0.9,1),0)</f>
        <v>300</v>
      </c>
      <c r="W323" s="24">
        <f t="shared" ref="W323:AA323" si="1341">IF($L323&lt;=W$8,1,0)</f>
        <v>1</v>
      </c>
      <c r="X323" s="24">
        <f>ROUND(INDEX($C$2:$C$5,MATCH($E323,$B$2:$B$5,0))*$F323/SUMIFS($F:$F,$E:$E,$E323,$B:$B,$B323,W:W,1)*IF(B323=$B$10,0.9,1),0)</f>
        <v>250</v>
      </c>
      <c r="Y323" s="24">
        <f t="shared" si="1341"/>
        <v>1</v>
      </c>
      <c r="Z323" s="24">
        <f>ROUND(INDEX($C$2:$C$5,MATCH($E323,$B$2:$B$5,0))*$G323/SUMIFS($G:$G,$E:$E,$E323,$B:$B,$B323,Y:Y,1)*IF(B323=$B$10,0.9,1),0)</f>
        <v>250</v>
      </c>
      <c r="AA323" s="24">
        <f t="shared" si="1341"/>
        <v>1</v>
      </c>
      <c r="AB323" s="24">
        <f>ROUND(INDEX($C$2:$C$5,MATCH($E323,$B$2:$B$5,0))*$H323/SUMIFS($H:$H,$E:$E,$E323,$B:$B,$B323,AA:AA,1)*IF(B323=$B$10,0.9,1),0)</f>
        <v>250</v>
      </c>
      <c r="AC323" s="24">
        <f t="shared" ref="AC323:AG323" si="1342">IF($L323&lt;=AC$8,1,0)</f>
        <v>1</v>
      </c>
      <c r="AD323" s="24">
        <f>ROUND(INDEX($C$2:$C$5,MATCH($E323,$B$2:$B$5,0))*$F323/SUMIFS($F:$F,$E:$E,$E323,$B:$B,$B323,AC:AC,1)*IF(B323=$B$10,0.9,1),0)</f>
        <v>250</v>
      </c>
      <c r="AE323" s="24">
        <f t="shared" si="1342"/>
        <v>1</v>
      </c>
      <c r="AF323" s="24">
        <f>ROUND(INDEX($C$2:$C$5,MATCH($E323,$B$2:$B$5,0))*$G323/SUMIFS($G:$G,$E:$E,$E323,$B:$B,$B323,AE:AE,1)*IF(B323=$B$10,0.9,1),0)</f>
        <v>250</v>
      </c>
      <c r="AG323" s="24">
        <f t="shared" si="1342"/>
        <v>1</v>
      </c>
      <c r="AH323" s="24">
        <f>ROUND(INDEX($C$2:$C$5,MATCH($E323,$B$2:$B$5,0))*$H323/SUMIFS($H:$H,$E:$E,$E323,$B:$B,$B323,AG:AG,1)*IF(B323=$B$10,0.9,1),0)</f>
        <v>250</v>
      </c>
      <c r="AI323" s="24">
        <f t="shared" ref="AI323:AM323" si="1343">IF($L323&lt;=AI$8,1,0)</f>
        <v>1</v>
      </c>
      <c r="AJ323" s="24">
        <f>ROUND(INDEX($C$2:$C$5,MATCH($E323,$B$2:$B$5,0))*$F323/SUMIFS($F:$F,$E:$E,$E323,$B:$B,$B323,AI:AI,1)*IF(B323=$B$10,0.9,1),0)</f>
        <v>250</v>
      </c>
      <c r="AK323" s="24">
        <f t="shared" si="1343"/>
        <v>1</v>
      </c>
      <c r="AL323" s="24">
        <f>ROUND(INDEX($C$2:$C$5,MATCH($E323,$B$2:$B$5,0))*$G323/SUMIFS($G:$G,$E:$E,$E323,$B:$B,$B323,AK:AK,1)*IF(B323=$B$10,0.9,1),0)</f>
        <v>250</v>
      </c>
      <c r="AM323" s="24">
        <f t="shared" si="1343"/>
        <v>1</v>
      </c>
      <c r="AN323" s="24">
        <f>ROUND(INDEX($C$2:$C$5,MATCH($E323,$B$2:$B$5,0))*$H323/SUMIFS($H:$H,$E:$E,$E323,$B:$B,$B323,AM:AM,1)*IF(B323=$B$10,0.9,1),0)</f>
        <v>250</v>
      </c>
      <c r="AX323" s="4" t="str">
        <f t="shared" si="1101"/>
        <v>1,250</v>
      </c>
      <c r="AY323" s="4" t="str">
        <f t="shared" si="1102"/>
        <v>1,300</v>
      </c>
      <c r="AZ323" s="4" t="str">
        <f t="shared" si="1103"/>
        <v>1,300</v>
      </c>
      <c r="BA323" s="4" t="str">
        <f t="shared" si="1104"/>
        <v>1,300</v>
      </c>
      <c r="BB323" s="4" t="str">
        <f t="shared" si="1105"/>
        <v>1,250</v>
      </c>
      <c r="BC323" s="4" t="str">
        <f t="shared" si="1106"/>
        <v>1,250</v>
      </c>
      <c r="BD323" s="4" t="str">
        <f t="shared" si="1107"/>
        <v>1,250</v>
      </c>
      <c r="BE323" s="4" t="str">
        <f t="shared" si="1108"/>
        <v>1,250</v>
      </c>
      <c r="BF323" s="4" t="str">
        <f t="shared" si="1109"/>
        <v>1,250</v>
      </c>
      <c r="BG323" s="4" t="str">
        <f t="shared" si="1110"/>
        <v>1,250</v>
      </c>
      <c r="BH323" s="4" t="str">
        <f t="shared" si="1111"/>
        <v>1,250</v>
      </c>
      <c r="BI323" s="4" t="str">
        <f t="shared" si="1112"/>
        <v>1,250</v>
      </c>
      <c r="BJ323" s="4" t="str">
        <f t="shared" si="1113"/>
        <v>1,250</v>
      </c>
    </row>
    <row r="324" customHeight="1" spans="1:62">
      <c r="A324" s="62">
        <f t="shared" si="1179"/>
        <v>1922</v>
      </c>
      <c r="B324" s="74" t="s">
        <v>139</v>
      </c>
      <c r="C324" s="64" t="s">
        <v>218</v>
      </c>
      <c r="D324" s="46" t="s">
        <v>367</v>
      </c>
      <c r="E324" s="66">
        <v>3</v>
      </c>
      <c r="F324" s="35">
        <v>1</v>
      </c>
      <c r="G324" s="35">
        <f t="shared" si="1114"/>
        <v>1</v>
      </c>
      <c r="H324" s="35">
        <v>1</v>
      </c>
      <c r="I324" s="35">
        <v>1</v>
      </c>
      <c r="J324" s="35">
        <v>1</v>
      </c>
      <c r="K324" s="35">
        <v>1</v>
      </c>
      <c r="L324" s="35">
        <v>1</v>
      </c>
      <c r="M324" s="35"/>
      <c r="N324">
        <f>INDEX($C$2:$C$5,MATCH(E324,$B$2:$B$5,0))</f>
        <v>1500</v>
      </c>
      <c r="O324" s="35">
        <v>1</v>
      </c>
      <c r="P324" s="24">
        <f>ROUND(INDEX($C$2:$C$5,MATCH($E324,$B$2:$B$5,0))*$F324/SUMIFS($F:$F,$E:$E,$E324,$B:$B,$B324,O:O,1)*IF(B324=$B$10,0.9,1),0)</f>
        <v>250</v>
      </c>
      <c r="Q324" s="24">
        <f t="shared" ref="Q324:U324" si="1344">IF($L324&lt;=Q$8,1,0)</f>
        <v>1</v>
      </c>
      <c r="R324" s="24">
        <f>ROUND(INDEX($C$2:$C$5,MATCH($E324,$B$2:$B$5,0))*$I324/SUMIFS($I:$I,$E:$E,$E324,$B:$B,$B324,Q:Q,1)*IF(B324=$B$10,0.9,1),0)</f>
        <v>300</v>
      </c>
      <c r="S324" s="24">
        <f t="shared" si="1344"/>
        <v>1</v>
      </c>
      <c r="T324" s="24">
        <f>ROUND(INDEX($C$2:$C$5,MATCH($E324,$B$2:$B$5,0))*$J324/SUMIFS($J:$J,$E:$E,$E324,$B:$B,$B324,S:S,1)*IF(B324=$B$10,0.9,1),0)</f>
        <v>300</v>
      </c>
      <c r="U324" s="24">
        <f t="shared" si="1344"/>
        <v>1</v>
      </c>
      <c r="V324" s="24">
        <f>ROUND(INDEX($C$2:$C$5,MATCH($E324,$B$2:$B$5,0))*$K324/SUMIFS($K:$K,$E:$E,$E324,$B:$B,$B324,U:U,1)*IF(B324=$B$10,0.9,1),0)</f>
        <v>300</v>
      </c>
      <c r="W324" s="24">
        <f t="shared" ref="W324:AA324" si="1345">IF($L324&lt;=W$8,1,0)</f>
        <v>1</v>
      </c>
      <c r="X324" s="24">
        <f>ROUND(INDEX($C$2:$C$5,MATCH($E324,$B$2:$B$5,0))*$F324/SUMIFS($F:$F,$E:$E,$E324,$B:$B,$B324,W:W,1)*IF(B324=$B$10,0.9,1),0)</f>
        <v>250</v>
      </c>
      <c r="Y324" s="24">
        <f t="shared" si="1345"/>
        <v>1</v>
      </c>
      <c r="Z324" s="24">
        <f>ROUND(INDEX($C$2:$C$5,MATCH($E324,$B$2:$B$5,0))*$G324/SUMIFS($G:$G,$E:$E,$E324,$B:$B,$B324,Y:Y,1)*IF(B324=$B$10,0.9,1),0)</f>
        <v>250</v>
      </c>
      <c r="AA324" s="24">
        <f t="shared" si="1345"/>
        <v>1</v>
      </c>
      <c r="AB324" s="24">
        <f>ROUND(INDEX($C$2:$C$5,MATCH($E324,$B$2:$B$5,0))*$H324/SUMIFS($H:$H,$E:$E,$E324,$B:$B,$B324,AA:AA,1)*IF(B324=$B$10,0.9,1),0)</f>
        <v>250</v>
      </c>
      <c r="AC324" s="24">
        <f t="shared" ref="AC324:AG324" si="1346">IF($L324&lt;=AC$8,1,0)</f>
        <v>1</v>
      </c>
      <c r="AD324" s="24">
        <f>ROUND(INDEX($C$2:$C$5,MATCH($E324,$B$2:$B$5,0))*$F324/SUMIFS($F:$F,$E:$E,$E324,$B:$B,$B324,AC:AC,1)*IF(B324=$B$10,0.9,1),0)</f>
        <v>250</v>
      </c>
      <c r="AE324" s="24">
        <f t="shared" si="1346"/>
        <v>1</v>
      </c>
      <c r="AF324" s="24">
        <f>ROUND(INDEX($C$2:$C$5,MATCH($E324,$B$2:$B$5,0))*$G324/SUMIFS($G:$G,$E:$E,$E324,$B:$B,$B324,AE:AE,1)*IF(B324=$B$10,0.9,1),0)</f>
        <v>250</v>
      </c>
      <c r="AG324" s="24">
        <f t="shared" si="1346"/>
        <v>1</v>
      </c>
      <c r="AH324" s="24">
        <f>ROUND(INDEX($C$2:$C$5,MATCH($E324,$B$2:$B$5,0))*$H324/SUMIFS($H:$H,$E:$E,$E324,$B:$B,$B324,AG:AG,1)*IF(B324=$B$10,0.9,1),0)</f>
        <v>250</v>
      </c>
      <c r="AI324" s="24">
        <f t="shared" ref="AI324:AM324" si="1347">IF($L324&lt;=AI$8,1,0)</f>
        <v>1</v>
      </c>
      <c r="AJ324" s="24">
        <f>ROUND(INDEX($C$2:$C$5,MATCH($E324,$B$2:$B$5,0))*$F324/SUMIFS($F:$F,$E:$E,$E324,$B:$B,$B324,AI:AI,1)*IF(B324=$B$10,0.9,1),0)</f>
        <v>250</v>
      </c>
      <c r="AK324" s="24">
        <f t="shared" si="1347"/>
        <v>1</v>
      </c>
      <c r="AL324" s="24">
        <f>ROUND(INDEX($C$2:$C$5,MATCH($E324,$B$2:$B$5,0))*$G324/SUMIFS($G:$G,$E:$E,$E324,$B:$B,$B324,AK:AK,1)*IF(B324=$B$10,0.9,1),0)</f>
        <v>250</v>
      </c>
      <c r="AM324" s="24">
        <f t="shared" si="1347"/>
        <v>1</v>
      </c>
      <c r="AN324" s="24">
        <f>ROUND(INDEX($C$2:$C$5,MATCH($E324,$B$2:$B$5,0))*$H324/SUMIFS($H:$H,$E:$E,$E324,$B:$B,$B324,AM:AM,1)*IF(B324=$B$10,0.9,1),0)</f>
        <v>250</v>
      </c>
      <c r="AX324" s="4" t="str">
        <f t="shared" si="1101"/>
        <v>1,250</v>
      </c>
      <c r="AY324" s="4" t="str">
        <f t="shared" si="1102"/>
        <v>1,300</v>
      </c>
      <c r="AZ324" s="4" t="str">
        <f t="shared" si="1103"/>
        <v>1,300</v>
      </c>
      <c r="BA324" s="4" t="str">
        <f t="shared" si="1104"/>
        <v>1,300</v>
      </c>
      <c r="BB324" s="4" t="str">
        <f t="shared" si="1105"/>
        <v>1,250</v>
      </c>
      <c r="BC324" s="4" t="str">
        <f t="shared" si="1106"/>
        <v>1,250</v>
      </c>
      <c r="BD324" s="4" t="str">
        <f t="shared" si="1107"/>
        <v>1,250</v>
      </c>
      <c r="BE324" s="4" t="str">
        <f t="shared" si="1108"/>
        <v>1,250</v>
      </c>
      <c r="BF324" s="4" t="str">
        <f t="shared" si="1109"/>
        <v>1,250</v>
      </c>
      <c r="BG324" s="4" t="str">
        <f t="shared" si="1110"/>
        <v>1,250</v>
      </c>
      <c r="BH324" s="4" t="str">
        <f t="shared" si="1111"/>
        <v>1,250</v>
      </c>
      <c r="BI324" s="4" t="str">
        <f t="shared" si="1112"/>
        <v>1,250</v>
      </c>
      <c r="BJ324" s="4" t="str">
        <f t="shared" si="1113"/>
        <v>1,250</v>
      </c>
    </row>
    <row r="325" customHeight="1" spans="1:62">
      <c r="A325" s="62">
        <f t="shared" si="1179"/>
        <v>1923</v>
      </c>
      <c r="B325" s="74" t="s">
        <v>139</v>
      </c>
      <c r="C325" s="64" t="s">
        <v>218</v>
      </c>
      <c r="D325" s="46" t="s">
        <v>368</v>
      </c>
      <c r="E325" s="66">
        <v>3</v>
      </c>
      <c r="F325" s="35">
        <v>1</v>
      </c>
      <c r="G325" s="35">
        <f t="shared" si="1114"/>
        <v>1</v>
      </c>
      <c r="H325" s="35">
        <v>1</v>
      </c>
      <c r="I325" s="35">
        <v>1</v>
      </c>
      <c r="J325" s="35">
        <v>1</v>
      </c>
      <c r="K325" s="35">
        <v>1</v>
      </c>
      <c r="L325" s="35">
        <v>1</v>
      </c>
      <c r="M325" s="35"/>
      <c r="N325">
        <f>INDEX($C$2:$C$5,MATCH(E325,$B$2:$B$5,0))</f>
        <v>1500</v>
      </c>
      <c r="O325" s="35">
        <v>1</v>
      </c>
      <c r="P325" s="24">
        <f>ROUND(INDEX($C$2:$C$5,MATCH($E325,$B$2:$B$5,0))*$F325/SUMIFS($F:$F,$E:$E,$E325,$B:$B,$B325,O:O,1)*IF(B325=$B$10,0.9,1),0)</f>
        <v>250</v>
      </c>
      <c r="Q325" s="24">
        <f t="shared" ref="Q325:U325" si="1348">IF($L325&lt;=Q$8,1,0)</f>
        <v>1</v>
      </c>
      <c r="R325" s="24">
        <f>ROUND(INDEX($C$2:$C$5,MATCH($E325,$B$2:$B$5,0))*$I325/SUMIFS($I:$I,$E:$E,$E325,$B:$B,$B325,Q:Q,1)*IF(B325=$B$10,0.9,1),0)</f>
        <v>300</v>
      </c>
      <c r="S325" s="24">
        <f t="shared" si="1348"/>
        <v>1</v>
      </c>
      <c r="T325" s="24">
        <f>ROUND(INDEX($C$2:$C$5,MATCH($E325,$B$2:$B$5,0))*$J325/SUMIFS($J:$J,$E:$E,$E325,$B:$B,$B325,S:S,1)*IF(B325=$B$10,0.9,1),0)</f>
        <v>300</v>
      </c>
      <c r="U325" s="24">
        <f t="shared" si="1348"/>
        <v>1</v>
      </c>
      <c r="V325" s="24">
        <f>ROUND(INDEX($C$2:$C$5,MATCH($E325,$B$2:$B$5,0))*$K325/SUMIFS($K:$K,$E:$E,$E325,$B:$B,$B325,U:U,1)*IF(B325=$B$10,0.9,1),0)</f>
        <v>300</v>
      </c>
      <c r="W325" s="24">
        <f t="shared" ref="W325:AA325" si="1349">IF($L325&lt;=W$8,1,0)</f>
        <v>1</v>
      </c>
      <c r="X325" s="24">
        <f>ROUND(INDEX($C$2:$C$5,MATCH($E325,$B$2:$B$5,0))*$F325/SUMIFS($F:$F,$E:$E,$E325,$B:$B,$B325,W:W,1)*IF(B325=$B$10,0.9,1),0)</f>
        <v>250</v>
      </c>
      <c r="Y325" s="24">
        <f t="shared" si="1349"/>
        <v>1</v>
      </c>
      <c r="Z325" s="24">
        <f>ROUND(INDEX($C$2:$C$5,MATCH($E325,$B$2:$B$5,0))*$G325/SUMIFS($G:$G,$E:$E,$E325,$B:$B,$B325,Y:Y,1)*IF(B325=$B$10,0.9,1),0)</f>
        <v>250</v>
      </c>
      <c r="AA325" s="24">
        <f t="shared" si="1349"/>
        <v>1</v>
      </c>
      <c r="AB325" s="24">
        <f>ROUND(INDEX($C$2:$C$5,MATCH($E325,$B$2:$B$5,0))*$H325/SUMIFS($H:$H,$E:$E,$E325,$B:$B,$B325,AA:AA,1)*IF(B325=$B$10,0.9,1),0)</f>
        <v>250</v>
      </c>
      <c r="AC325" s="24">
        <f t="shared" ref="AC325:AG325" si="1350">IF($L325&lt;=AC$8,1,0)</f>
        <v>1</v>
      </c>
      <c r="AD325" s="24">
        <f>ROUND(INDEX($C$2:$C$5,MATCH($E325,$B$2:$B$5,0))*$F325/SUMIFS($F:$F,$E:$E,$E325,$B:$B,$B325,AC:AC,1)*IF(B325=$B$10,0.9,1),0)</f>
        <v>250</v>
      </c>
      <c r="AE325" s="24">
        <f t="shared" si="1350"/>
        <v>1</v>
      </c>
      <c r="AF325" s="24">
        <f>ROUND(INDEX($C$2:$C$5,MATCH($E325,$B$2:$B$5,0))*$G325/SUMIFS($G:$G,$E:$E,$E325,$B:$B,$B325,AE:AE,1)*IF(B325=$B$10,0.9,1),0)</f>
        <v>250</v>
      </c>
      <c r="AG325" s="24">
        <f t="shared" si="1350"/>
        <v>1</v>
      </c>
      <c r="AH325" s="24">
        <f>ROUND(INDEX($C$2:$C$5,MATCH($E325,$B$2:$B$5,0))*$H325/SUMIFS($H:$H,$E:$E,$E325,$B:$B,$B325,AG:AG,1)*IF(B325=$B$10,0.9,1),0)</f>
        <v>250</v>
      </c>
      <c r="AI325" s="24">
        <f t="shared" ref="AI325:AM325" si="1351">IF($L325&lt;=AI$8,1,0)</f>
        <v>1</v>
      </c>
      <c r="AJ325" s="24">
        <f>ROUND(INDEX($C$2:$C$5,MATCH($E325,$B$2:$B$5,0))*$F325/SUMIFS($F:$F,$E:$E,$E325,$B:$B,$B325,AI:AI,1)*IF(B325=$B$10,0.9,1),0)</f>
        <v>250</v>
      </c>
      <c r="AK325" s="24">
        <f t="shared" si="1351"/>
        <v>1</v>
      </c>
      <c r="AL325" s="24">
        <f>ROUND(INDEX($C$2:$C$5,MATCH($E325,$B$2:$B$5,0))*$G325/SUMIFS($G:$G,$E:$E,$E325,$B:$B,$B325,AK:AK,1)*IF(B325=$B$10,0.9,1),0)</f>
        <v>250</v>
      </c>
      <c r="AM325" s="24">
        <f t="shared" si="1351"/>
        <v>1</v>
      </c>
      <c r="AN325" s="24">
        <f>ROUND(INDEX($C$2:$C$5,MATCH($E325,$B$2:$B$5,0))*$H325/SUMIFS($H:$H,$E:$E,$E325,$B:$B,$B325,AM:AM,1)*IF(B325=$B$10,0.9,1),0)</f>
        <v>250</v>
      </c>
      <c r="AX325" s="4" t="str">
        <f t="shared" si="1101"/>
        <v>1,250</v>
      </c>
      <c r="AY325" s="4" t="str">
        <f t="shared" si="1102"/>
        <v>1,300</v>
      </c>
      <c r="AZ325" s="4" t="str">
        <f t="shared" si="1103"/>
        <v>1,300</v>
      </c>
      <c r="BA325" s="4" t="str">
        <f t="shared" si="1104"/>
        <v>1,300</v>
      </c>
      <c r="BB325" s="4" t="str">
        <f t="shared" si="1105"/>
        <v>1,250</v>
      </c>
      <c r="BC325" s="4" t="str">
        <f t="shared" si="1106"/>
        <v>1,250</v>
      </c>
      <c r="BD325" s="4" t="str">
        <f t="shared" si="1107"/>
        <v>1,250</v>
      </c>
      <c r="BE325" s="4" t="str">
        <f t="shared" si="1108"/>
        <v>1,250</v>
      </c>
      <c r="BF325" s="4" t="str">
        <f t="shared" si="1109"/>
        <v>1,250</v>
      </c>
      <c r="BG325" s="4" t="str">
        <f t="shared" si="1110"/>
        <v>1,250</v>
      </c>
      <c r="BH325" s="4" t="str">
        <f t="shared" si="1111"/>
        <v>1,250</v>
      </c>
      <c r="BI325" s="4" t="str">
        <f t="shared" si="1112"/>
        <v>1,250</v>
      </c>
      <c r="BJ325" s="4" t="str">
        <f t="shared" si="1113"/>
        <v>1,250</v>
      </c>
    </row>
    <row r="326" customHeight="1" spans="1:62">
      <c r="A326" s="62">
        <f t="shared" si="1179"/>
        <v>1924</v>
      </c>
      <c r="B326" s="74" t="s">
        <v>139</v>
      </c>
      <c r="C326" s="64" t="s">
        <v>218</v>
      </c>
      <c r="D326" s="46" t="s">
        <v>369</v>
      </c>
      <c r="E326" s="66">
        <v>3</v>
      </c>
      <c r="F326" s="35">
        <v>1</v>
      </c>
      <c r="G326" s="35">
        <f t="shared" si="1114"/>
        <v>1</v>
      </c>
      <c r="H326" s="35">
        <v>1</v>
      </c>
      <c r="I326" s="35">
        <v>1</v>
      </c>
      <c r="J326" s="35">
        <v>1</v>
      </c>
      <c r="K326" s="35">
        <v>1</v>
      </c>
      <c r="L326" s="35">
        <v>1</v>
      </c>
      <c r="M326" s="35"/>
      <c r="N326">
        <f>INDEX($C$2:$C$5,MATCH(E326,$B$2:$B$5,0))</f>
        <v>1500</v>
      </c>
      <c r="O326" s="35">
        <v>1</v>
      </c>
      <c r="P326" s="24">
        <f>ROUND(INDEX($C$2:$C$5,MATCH($E326,$B$2:$B$5,0))*$F326/SUMIFS($F:$F,$E:$E,$E326,$B:$B,$B326,O:O,1)*IF(B326=$B$10,0.9,1),0)</f>
        <v>250</v>
      </c>
      <c r="Q326" s="24">
        <f t="shared" ref="Q326:U326" si="1352">IF($L326&lt;=Q$8,1,0)</f>
        <v>1</v>
      </c>
      <c r="R326" s="24">
        <f>ROUND(INDEX($C$2:$C$5,MATCH($E326,$B$2:$B$5,0))*$I326/SUMIFS($I:$I,$E:$E,$E326,$B:$B,$B326,Q:Q,1)*IF(B326=$B$10,0.9,1),0)</f>
        <v>300</v>
      </c>
      <c r="S326" s="24">
        <f t="shared" si="1352"/>
        <v>1</v>
      </c>
      <c r="T326" s="24">
        <f>ROUND(INDEX($C$2:$C$5,MATCH($E326,$B$2:$B$5,0))*$J326/SUMIFS($J:$J,$E:$E,$E326,$B:$B,$B326,S:S,1)*IF(B326=$B$10,0.9,1),0)</f>
        <v>300</v>
      </c>
      <c r="U326" s="24">
        <f t="shared" si="1352"/>
        <v>1</v>
      </c>
      <c r="V326" s="24">
        <f>ROUND(INDEX($C$2:$C$5,MATCH($E326,$B$2:$B$5,0))*$K326/SUMIFS($K:$K,$E:$E,$E326,$B:$B,$B326,U:U,1)*IF(B326=$B$10,0.9,1),0)</f>
        <v>300</v>
      </c>
      <c r="W326" s="24">
        <f t="shared" ref="W326:AA326" si="1353">IF($L326&lt;=W$8,1,0)</f>
        <v>1</v>
      </c>
      <c r="X326" s="24">
        <f>ROUND(INDEX($C$2:$C$5,MATCH($E326,$B$2:$B$5,0))*$F326/SUMIFS($F:$F,$E:$E,$E326,$B:$B,$B326,W:W,1)*IF(B326=$B$10,0.9,1),0)</f>
        <v>250</v>
      </c>
      <c r="Y326" s="24">
        <f t="shared" si="1353"/>
        <v>1</v>
      </c>
      <c r="Z326" s="24">
        <f>ROUND(INDEX($C$2:$C$5,MATCH($E326,$B$2:$B$5,0))*$G326/SUMIFS($G:$G,$E:$E,$E326,$B:$B,$B326,Y:Y,1)*IF(B326=$B$10,0.9,1),0)</f>
        <v>250</v>
      </c>
      <c r="AA326" s="24">
        <f t="shared" si="1353"/>
        <v>1</v>
      </c>
      <c r="AB326" s="24">
        <f>ROUND(INDEX($C$2:$C$5,MATCH($E326,$B$2:$B$5,0))*$H326/SUMIFS($H:$H,$E:$E,$E326,$B:$B,$B326,AA:AA,1)*IF(B326=$B$10,0.9,1),0)</f>
        <v>250</v>
      </c>
      <c r="AC326" s="24">
        <f t="shared" ref="AC326:AG326" si="1354">IF($L326&lt;=AC$8,1,0)</f>
        <v>1</v>
      </c>
      <c r="AD326" s="24">
        <f>ROUND(INDEX($C$2:$C$5,MATCH($E326,$B$2:$B$5,0))*$F326/SUMIFS($F:$F,$E:$E,$E326,$B:$B,$B326,AC:AC,1)*IF(B326=$B$10,0.9,1),0)</f>
        <v>250</v>
      </c>
      <c r="AE326" s="24">
        <f t="shared" si="1354"/>
        <v>1</v>
      </c>
      <c r="AF326" s="24">
        <f>ROUND(INDEX($C$2:$C$5,MATCH($E326,$B$2:$B$5,0))*$G326/SUMIFS($G:$G,$E:$E,$E326,$B:$B,$B326,AE:AE,1)*IF(B326=$B$10,0.9,1),0)</f>
        <v>250</v>
      </c>
      <c r="AG326" s="24">
        <f t="shared" si="1354"/>
        <v>1</v>
      </c>
      <c r="AH326" s="24">
        <f>ROUND(INDEX($C$2:$C$5,MATCH($E326,$B$2:$B$5,0))*$H326/SUMIFS($H:$H,$E:$E,$E326,$B:$B,$B326,AG:AG,1)*IF(B326=$B$10,0.9,1),0)</f>
        <v>250</v>
      </c>
      <c r="AI326" s="24">
        <f t="shared" ref="AI326:AM326" si="1355">IF($L326&lt;=AI$8,1,0)</f>
        <v>1</v>
      </c>
      <c r="AJ326" s="24">
        <f>ROUND(INDEX($C$2:$C$5,MATCH($E326,$B$2:$B$5,0))*$F326/SUMIFS($F:$F,$E:$E,$E326,$B:$B,$B326,AI:AI,1)*IF(B326=$B$10,0.9,1),0)</f>
        <v>250</v>
      </c>
      <c r="AK326" s="24">
        <f t="shared" si="1355"/>
        <v>1</v>
      </c>
      <c r="AL326" s="24">
        <f>ROUND(INDEX($C$2:$C$5,MATCH($E326,$B$2:$B$5,0))*$G326/SUMIFS($G:$G,$E:$E,$E326,$B:$B,$B326,AK:AK,1)*IF(B326=$B$10,0.9,1),0)</f>
        <v>250</v>
      </c>
      <c r="AM326" s="24">
        <f t="shared" si="1355"/>
        <v>1</v>
      </c>
      <c r="AN326" s="24">
        <f>ROUND(INDEX($C$2:$C$5,MATCH($E326,$B$2:$B$5,0))*$H326/SUMIFS($H:$H,$E:$E,$E326,$B:$B,$B326,AM:AM,1)*IF(B326=$B$10,0.9,1),0)</f>
        <v>250</v>
      </c>
      <c r="AX326" s="4" t="str">
        <f t="shared" si="1101"/>
        <v>1,250</v>
      </c>
      <c r="AY326" s="4" t="str">
        <f t="shared" si="1102"/>
        <v>1,300</v>
      </c>
      <c r="AZ326" s="4" t="str">
        <f t="shared" si="1103"/>
        <v>1,300</v>
      </c>
      <c r="BA326" s="4" t="str">
        <f t="shared" si="1104"/>
        <v>1,300</v>
      </c>
      <c r="BB326" s="4" t="str">
        <f t="shared" si="1105"/>
        <v>1,250</v>
      </c>
      <c r="BC326" s="4" t="str">
        <f t="shared" si="1106"/>
        <v>1,250</v>
      </c>
      <c r="BD326" s="4" t="str">
        <f t="shared" si="1107"/>
        <v>1,250</v>
      </c>
      <c r="BE326" s="4" t="str">
        <f t="shared" si="1108"/>
        <v>1,250</v>
      </c>
      <c r="BF326" s="4" t="str">
        <f t="shared" si="1109"/>
        <v>1,250</v>
      </c>
      <c r="BG326" s="4" t="str">
        <f t="shared" si="1110"/>
        <v>1,250</v>
      </c>
      <c r="BH326" s="4" t="str">
        <f t="shared" si="1111"/>
        <v>1,250</v>
      </c>
      <c r="BI326" s="4" t="str">
        <f t="shared" si="1112"/>
        <v>1,250</v>
      </c>
      <c r="BJ326" s="4" t="str">
        <f t="shared" si="1113"/>
        <v>1,250</v>
      </c>
    </row>
    <row r="327" customHeight="1" spans="1:62">
      <c r="A327" s="62">
        <f t="shared" si="1179"/>
        <v>1931</v>
      </c>
      <c r="B327" s="74" t="s">
        <v>139</v>
      </c>
      <c r="C327" s="64" t="s">
        <v>218</v>
      </c>
      <c r="D327" s="44" t="s">
        <v>95</v>
      </c>
      <c r="E327" s="67">
        <v>2</v>
      </c>
      <c r="F327" s="35">
        <v>1</v>
      </c>
      <c r="G327" s="35">
        <f t="shared" si="1114"/>
        <v>1</v>
      </c>
      <c r="H327" s="35">
        <v>1</v>
      </c>
      <c r="I327" s="35">
        <v>1</v>
      </c>
      <c r="J327" s="35">
        <v>1</v>
      </c>
      <c r="K327" s="35">
        <v>1</v>
      </c>
      <c r="L327" s="35">
        <v>2</v>
      </c>
      <c r="M327" s="35"/>
      <c r="N327">
        <f>INDEX($C$2:$C$5,MATCH(E327,$B$2:$B$5,0))</f>
        <v>4500</v>
      </c>
      <c r="O327" s="35">
        <v>1</v>
      </c>
      <c r="P327" s="24">
        <f>ROUND(INDEX($C$2:$C$5,MATCH($E327,$B$2:$B$5,0))*$F327/SUMIFS($F:$F,$E:$E,$E327,$B:$B,$B327,O:O,1)*IF(B327=$B$10,0.9,1),0)</f>
        <v>750</v>
      </c>
      <c r="Q327" s="24">
        <f t="shared" ref="Q327:U327" si="1356">IF($L327&lt;=Q$8,1,0)</f>
        <v>0</v>
      </c>
      <c r="R327" s="24">
        <f>ROUND(INDEX($C$2:$C$5,MATCH($E327,$B$2:$B$5,0))*$I327/SUMIFS($I:$I,$E:$E,$E327,$B:$B,$B327,Q:Q,1)*IF(B327=$B$10,0.9,1),0)</f>
        <v>900</v>
      </c>
      <c r="S327" s="24">
        <f t="shared" si="1356"/>
        <v>0</v>
      </c>
      <c r="T327" s="24">
        <f>ROUND(INDEX($C$2:$C$5,MATCH($E327,$B$2:$B$5,0))*$J327/SUMIFS($J:$J,$E:$E,$E327,$B:$B,$B327,S:S,1)*IF(B327=$B$10,0.9,1),0)</f>
        <v>900</v>
      </c>
      <c r="U327" s="24">
        <f t="shared" si="1356"/>
        <v>0</v>
      </c>
      <c r="V327" s="24">
        <f>ROUND(INDEX($C$2:$C$5,MATCH($E327,$B$2:$B$5,0))*$K327/SUMIFS($K:$K,$E:$E,$E327,$B:$B,$B327,U:U,1)*IF(B327=$B$10,0.9,1),0)</f>
        <v>900</v>
      </c>
      <c r="W327" s="24">
        <f t="shared" ref="W327:AA327" si="1357">IF($L327&lt;=W$8,1,0)</f>
        <v>1</v>
      </c>
      <c r="X327" s="24">
        <f>ROUND(INDEX($C$2:$C$5,MATCH($E327,$B$2:$B$5,0))*$F327/SUMIFS($F:$F,$E:$E,$E327,$B:$B,$B327,W:W,1)*IF(B327=$B$10,0.9,1),0)</f>
        <v>750</v>
      </c>
      <c r="Y327" s="24">
        <f t="shared" si="1357"/>
        <v>1</v>
      </c>
      <c r="Z327" s="24">
        <f>ROUND(INDEX($C$2:$C$5,MATCH($E327,$B$2:$B$5,0))*$G327/SUMIFS($G:$G,$E:$E,$E327,$B:$B,$B327,Y:Y,1)*IF(B327=$B$10,0.9,1),0)</f>
        <v>750</v>
      </c>
      <c r="AA327" s="24">
        <f t="shared" si="1357"/>
        <v>1</v>
      </c>
      <c r="AB327" s="24">
        <f>ROUND(INDEX($C$2:$C$5,MATCH($E327,$B$2:$B$5,0))*$H327/SUMIFS($H:$H,$E:$E,$E327,$B:$B,$B327,AA:AA,1)*IF(B327=$B$10,0.9,1),0)</f>
        <v>750</v>
      </c>
      <c r="AC327" s="24">
        <f t="shared" ref="AC327:AG327" si="1358">IF($L327&lt;=AC$8,1,0)</f>
        <v>1</v>
      </c>
      <c r="AD327" s="24">
        <f>ROUND(INDEX($C$2:$C$5,MATCH($E327,$B$2:$B$5,0))*$F327/SUMIFS($F:$F,$E:$E,$E327,$B:$B,$B327,AC:AC,1)*IF(B327=$B$10,0.9,1),0)</f>
        <v>750</v>
      </c>
      <c r="AE327" s="24">
        <f t="shared" si="1358"/>
        <v>1</v>
      </c>
      <c r="AF327" s="24">
        <f>ROUND(INDEX($C$2:$C$5,MATCH($E327,$B$2:$B$5,0))*$G327/SUMIFS($G:$G,$E:$E,$E327,$B:$B,$B327,AE:AE,1)*IF(B327=$B$10,0.9,1),0)</f>
        <v>750</v>
      </c>
      <c r="AG327" s="24">
        <f t="shared" si="1358"/>
        <v>1</v>
      </c>
      <c r="AH327" s="24">
        <f>ROUND(INDEX($C$2:$C$5,MATCH($E327,$B$2:$B$5,0))*$H327/SUMIFS($H:$H,$E:$E,$E327,$B:$B,$B327,AG:AG,1)*IF(B327=$B$10,0.9,1),0)</f>
        <v>750</v>
      </c>
      <c r="AI327" s="24">
        <f t="shared" ref="AI327:AM327" si="1359">IF($L327&lt;=AI$8,1,0)</f>
        <v>1</v>
      </c>
      <c r="AJ327" s="24">
        <f>ROUND(INDEX($C$2:$C$5,MATCH($E327,$B$2:$B$5,0))*$F327/SUMIFS($F:$F,$E:$E,$E327,$B:$B,$B327,AI:AI,1)*IF(B327=$B$10,0.9,1),0)</f>
        <v>750</v>
      </c>
      <c r="AK327" s="24">
        <f t="shared" si="1359"/>
        <v>1</v>
      </c>
      <c r="AL327" s="24">
        <f>ROUND(INDEX($C$2:$C$5,MATCH($E327,$B$2:$B$5,0))*$G327/SUMIFS($G:$G,$E:$E,$E327,$B:$B,$B327,AK:AK,1)*IF(B327=$B$10,0.9,1),0)</f>
        <v>750</v>
      </c>
      <c r="AM327" s="24">
        <f t="shared" si="1359"/>
        <v>1</v>
      </c>
      <c r="AN327" s="24">
        <f>ROUND(INDEX($C$2:$C$5,MATCH($E327,$B$2:$B$5,0))*$H327/SUMIFS($H:$H,$E:$E,$E327,$B:$B,$B327,AM:AM,1)*IF(B327=$B$10,0.9,1),0)</f>
        <v>750</v>
      </c>
      <c r="AX327" s="4" t="str">
        <f t="shared" si="1101"/>
        <v>1,750</v>
      </c>
      <c r="AY327" s="4" t="str">
        <f t="shared" si="1102"/>
        <v>0,900</v>
      </c>
      <c r="AZ327" s="4" t="str">
        <f t="shared" si="1103"/>
        <v>0,900</v>
      </c>
      <c r="BA327" s="4" t="str">
        <f t="shared" si="1104"/>
        <v>0,900</v>
      </c>
      <c r="BB327" s="4" t="str">
        <f t="shared" si="1105"/>
        <v>1,750</v>
      </c>
      <c r="BC327" s="4" t="str">
        <f t="shared" si="1106"/>
        <v>1,750</v>
      </c>
      <c r="BD327" s="4" t="str">
        <f t="shared" si="1107"/>
        <v>1,750</v>
      </c>
      <c r="BE327" s="4" t="str">
        <f t="shared" si="1108"/>
        <v>1,750</v>
      </c>
      <c r="BF327" s="4" t="str">
        <f t="shared" si="1109"/>
        <v>1,750</v>
      </c>
      <c r="BG327" s="4" t="str">
        <f t="shared" si="1110"/>
        <v>1,750</v>
      </c>
      <c r="BH327" s="4" t="str">
        <f t="shared" si="1111"/>
        <v>1,750</v>
      </c>
      <c r="BI327" s="4" t="str">
        <f t="shared" si="1112"/>
        <v>1,750</v>
      </c>
      <c r="BJ327" s="4" t="str">
        <f t="shared" si="1113"/>
        <v>1,750</v>
      </c>
    </row>
    <row r="328" customHeight="1" spans="1:62">
      <c r="A328" s="62">
        <f t="shared" si="1179"/>
        <v>1932</v>
      </c>
      <c r="B328" s="74" t="s">
        <v>139</v>
      </c>
      <c r="C328" s="64" t="s">
        <v>218</v>
      </c>
      <c r="D328" s="44" t="s">
        <v>36</v>
      </c>
      <c r="E328" s="67">
        <v>2</v>
      </c>
      <c r="F328" s="35">
        <v>1</v>
      </c>
      <c r="G328" s="35">
        <f t="shared" si="1114"/>
        <v>1</v>
      </c>
      <c r="H328" s="35">
        <v>1</v>
      </c>
      <c r="I328" s="35">
        <v>1</v>
      </c>
      <c r="J328" s="35">
        <v>1</v>
      </c>
      <c r="K328" s="35">
        <v>1</v>
      </c>
      <c r="L328" s="35">
        <v>1</v>
      </c>
      <c r="M328" s="35"/>
      <c r="N328">
        <f>INDEX($C$2:$C$5,MATCH(E328,$B$2:$B$5,0))</f>
        <v>4500</v>
      </c>
      <c r="O328" s="35">
        <v>1</v>
      </c>
      <c r="P328" s="24">
        <f>ROUND(INDEX($C$2:$C$5,MATCH($E328,$B$2:$B$5,0))*$F328/SUMIFS($F:$F,$E:$E,$E328,$B:$B,$B328,O:O,1)*IF(B328=$B$10,0.9,1),0)</f>
        <v>750</v>
      </c>
      <c r="Q328" s="24">
        <f t="shared" ref="Q328:U328" si="1360">IF($L328&lt;=Q$8,1,0)</f>
        <v>1</v>
      </c>
      <c r="R328" s="24">
        <f>ROUND(INDEX($C$2:$C$5,MATCH($E328,$B$2:$B$5,0))*$I328/SUMIFS($I:$I,$E:$E,$E328,$B:$B,$B328,Q:Q,1)*IF(B328=$B$10,0.9,1),0)</f>
        <v>900</v>
      </c>
      <c r="S328" s="24">
        <f t="shared" si="1360"/>
        <v>1</v>
      </c>
      <c r="T328" s="24">
        <f>ROUND(INDEX($C$2:$C$5,MATCH($E328,$B$2:$B$5,0))*$J328/SUMIFS($J:$J,$E:$E,$E328,$B:$B,$B328,S:S,1)*IF(B328=$B$10,0.9,1),0)</f>
        <v>900</v>
      </c>
      <c r="U328" s="24">
        <f t="shared" si="1360"/>
        <v>1</v>
      </c>
      <c r="V328" s="24">
        <f>ROUND(INDEX($C$2:$C$5,MATCH($E328,$B$2:$B$5,0))*$K328/SUMIFS($K:$K,$E:$E,$E328,$B:$B,$B328,U:U,1)*IF(B328=$B$10,0.9,1),0)</f>
        <v>900</v>
      </c>
      <c r="W328" s="24">
        <f t="shared" ref="W328:AA328" si="1361">IF($L328&lt;=W$8,1,0)</f>
        <v>1</v>
      </c>
      <c r="X328" s="24">
        <f>ROUND(INDEX($C$2:$C$5,MATCH($E328,$B$2:$B$5,0))*$F328/SUMIFS($F:$F,$E:$E,$E328,$B:$B,$B328,W:W,1)*IF(B328=$B$10,0.9,1),0)</f>
        <v>750</v>
      </c>
      <c r="Y328" s="24">
        <f t="shared" si="1361"/>
        <v>1</v>
      </c>
      <c r="Z328" s="24">
        <f>ROUND(INDEX($C$2:$C$5,MATCH($E328,$B$2:$B$5,0))*$G328/SUMIFS($G:$G,$E:$E,$E328,$B:$B,$B328,Y:Y,1)*IF(B328=$B$10,0.9,1),0)</f>
        <v>750</v>
      </c>
      <c r="AA328" s="24">
        <f t="shared" si="1361"/>
        <v>1</v>
      </c>
      <c r="AB328" s="24">
        <f>ROUND(INDEX($C$2:$C$5,MATCH($E328,$B$2:$B$5,0))*$H328/SUMIFS($H:$H,$E:$E,$E328,$B:$B,$B328,AA:AA,1)*IF(B328=$B$10,0.9,1),0)</f>
        <v>750</v>
      </c>
      <c r="AC328" s="24">
        <f t="shared" ref="AC328:AG328" si="1362">IF($L328&lt;=AC$8,1,0)</f>
        <v>1</v>
      </c>
      <c r="AD328" s="24">
        <f>ROUND(INDEX($C$2:$C$5,MATCH($E328,$B$2:$B$5,0))*$F328/SUMIFS($F:$F,$E:$E,$E328,$B:$B,$B328,AC:AC,1)*IF(B328=$B$10,0.9,1),0)</f>
        <v>750</v>
      </c>
      <c r="AE328" s="24">
        <f t="shared" si="1362"/>
        <v>1</v>
      </c>
      <c r="AF328" s="24">
        <f>ROUND(INDEX($C$2:$C$5,MATCH($E328,$B$2:$B$5,0))*$G328/SUMIFS($G:$G,$E:$E,$E328,$B:$B,$B328,AE:AE,1)*IF(B328=$B$10,0.9,1),0)</f>
        <v>750</v>
      </c>
      <c r="AG328" s="24">
        <f t="shared" si="1362"/>
        <v>1</v>
      </c>
      <c r="AH328" s="24">
        <f>ROUND(INDEX($C$2:$C$5,MATCH($E328,$B$2:$B$5,0))*$H328/SUMIFS($H:$H,$E:$E,$E328,$B:$B,$B328,AG:AG,1)*IF(B328=$B$10,0.9,1),0)</f>
        <v>750</v>
      </c>
      <c r="AI328" s="24">
        <f t="shared" ref="AI328:AM328" si="1363">IF($L328&lt;=AI$8,1,0)</f>
        <v>1</v>
      </c>
      <c r="AJ328" s="24">
        <f>ROUND(INDEX($C$2:$C$5,MATCH($E328,$B$2:$B$5,0))*$F328/SUMIFS($F:$F,$E:$E,$E328,$B:$B,$B328,AI:AI,1)*IF(B328=$B$10,0.9,1),0)</f>
        <v>750</v>
      </c>
      <c r="AK328" s="24">
        <f t="shared" si="1363"/>
        <v>1</v>
      </c>
      <c r="AL328" s="24">
        <f>ROUND(INDEX($C$2:$C$5,MATCH($E328,$B$2:$B$5,0))*$G328/SUMIFS($G:$G,$E:$E,$E328,$B:$B,$B328,AK:AK,1)*IF(B328=$B$10,0.9,1),0)</f>
        <v>750</v>
      </c>
      <c r="AM328" s="24">
        <f t="shared" si="1363"/>
        <v>1</v>
      </c>
      <c r="AN328" s="24">
        <f>ROUND(INDEX($C$2:$C$5,MATCH($E328,$B$2:$B$5,0))*$H328/SUMIFS($H:$H,$E:$E,$E328,$B:$B,$B328,AM:AM,1)*IF(B328=$B$10,0.9,1),0)</f>
        <v>750</v>
      </c>
      <c r="AX328" s="4" t="str">
        <f t="shared" si="1101"/>
        <v>1,750</v>
      </c>
      <c r="AY328" s="4" t="str">
        <f t="shared" si="1102"/>
        <v>1,900</v>
      </c>
      <c r="AZ328" s="4" t="str">
        <f t="shared" si="1103"/>
        <v>1,900</v>
      </c>
      <c r="BA328" s="4" t="str">
        <f t="shared" si="1104"/>
        <v>1,900</v>
      </c>
      <c r="BB328" s="4" t="str">
        <f t="shared" si="1105"/>
        <v>1,750</v>
      </c>
      <c r="BC328" s="4" t="str">
        <f t="shared" si="1106"/>
        <v>1,750</v>
      </c>
      <c r="BD328" s="4" t="str">
        <f t="shared" si="1107"/>
        <v>1,750</v>
      </c>
      <c r="BE328" s="4" t="str">
        <f t="shared" si="1108"/>
        <v>1,750</v>
      </c>
      <c r="BF328" s="4" t="str">
        <f t="shared" si="1109"/>
        <v>1,750</v>
      </c>
      <c r="BG328" s="4" t="str">
        <f t="shared" si="1110"/>
        <v>1,750</v>
      </c>
      <c r="BH328" s="4" t="str">
        <f t="shared" si="1111"/>
        <v>1,750</v>
      </c>
      <c r="BI328" s="4" t="str">
        <f t="shared" si="1112"/>
        <v>1,750</v>
      </c>
      <c r="BJ328" s="4" t="str">
        <f t="shared" si="1113"/>
        <v>1,750</v>
      </c>
    </row>
    <row r="329" customHeight="1" spans="1:62">
      <c r="A329" s="62">
        <f t="shared" si="1179"/>
        <v>1941</v>
      </c>
      <c r="B329" s="74" t="s">
        <v>139</v>
      </c>
      <c r="C329" s="64"/>
      <c r="D329" s="46" t="s">
        <v>26</v>
      </c>
      <c r="E329" s="62">
        <v>3</v>
      </c>
      <c r="F329" s="35">
        <v>1</v>
      </c>
      <c r="G329" s="35">
        <f t="shared" si="1114"/>
        <v>1</v>
      </c>
      <c r="H329" s="35">
        <v>1</v>
      </c>
      <c r="I329" s="35">
        <v>1</v>
      </c>
      <c r="J329" s="35">
        <v>1</v>
      </c>
      <c r="K329" s="35">
        <v>1</v>
      </c>
      <c r="L329" s="35">
        <v>1</v>
      </c>
      <c r="M329" s="35"/>
      <c r="N329">
        <f>INDEX($C$2:$C$5,MATCH(E329,$B$2:$B$5,0))</f>
        <v>1500</v>
      </c>
      <c r="O329" s="35">
        <v>1</v>
      </c>
      <c r="P329" s="24">
        <f>ROUND(INDEX($C$2:$C$5,MATCH($E329,$B$2:$B$5,0))*$F329/SUMIFS($F:$F,$E:$E,$E329,$B:$B,$B329,O:O,1)*IF(B329=$B$10,0.9,1),0)</f>
        <v>250</v>
      </c>
      <c r="Q329" s="24">
        <f t="shared" ref="Q329:U329" si="1364">IF($L329&lt;=Q$8,1,0)</f>
        <v>1</v>
      </c>
      <c r="R329" s="24">
        <f>ROUND(INDEX($C$2:$C$5,MATCH($E329,$B$2:$B$5,0))*$I329/SUMIFS($I:$I,$E:$E,$E329,$B:$B,$B329,Q:Q,1)*IF(B329=$B$10,0.9,1),0)</f>
        <v>300</v>
      </c>
      <c r="S329" s="24">
        <f t="shared" si="1364"/>
        <v>1</v>
      </c>
      <c r="T329" s="24">
        <f>ROUND(INDEX($C$2:$C$5,MATCH($E329,$B$2:$B$5,0))*$J329/SUMIFS($J:$J,$E:$E,$E329,$B:$B,$B329,S:S,1)*IF(B329=$B$10,0.9,1),0)</f>
        <v>300</v>
      </c>
      <c r="U329" s="24">
        <f t="shared" si="1364"/>
        <v>1</v>
      </c>
      <c r="V329" s="24">
        <f>ROUND(INDEX($C$2:$C$5,MATCH($E329,$B$2:$B$5,0))*$K329/SUMIFS($K:$K,$E:$E,$E329,$B:$B,$B329,U:U,1)*IF(B329=$B$10,0.9,1),0)</f>
        <v>300</v>
      </c>
      <c r="W329" s="24">
        <f t="shared" ref="W329:AA329" si="1365">IF($L329&lt;=W$8,1,0)</f>
        <v>1</v>
      </c>
      <c r="X329" s="24">
        <f>ROUND(INDEX($C$2:$C$5,MATCH($E329,$B$2:$B$5,0))*$F329/SUMIFS($F:$F,$E:$E,$E329,$B:$B,$B329,W:W,1)*IF(B329=$B$10,0.9,1),0)</f>
        <v>250</v>
      </c>
      <c r="Y329" s="24">
        <f t="shared" si="1365"/>
        <v>1</v>
      </c>
      <c r="Z329" s="24">
        <f>ROUND(INDEX($C$2:$C$5,MATCH($E329,$B$2:$B$5,0))*$G329/SUMIFS($G:$G,$E:$E,$E329,$B:$B,$B329,Y:Y,1)*IF(B329=$B$10,0.9,1),0)</f>
        <v>250</v>
      </c>
      <c r="AA329" s="24">
        <f t="shared" si="1365"/>
        <v>1</v>
      </c>
      <c r="AB329" s="24">
        <f>ROUND(INDEX($C$2:$C$5,MATCH($E329,$B$2:$B$5,0))*$H329/SUMIFS($H:$H,$E:$E,$E329,$B:$B,$B329,AA:AA,1)*IF(B329=$B$10,0.9,1),0)</f>
        <v>250</v>
      </c>
      <c r="AC329" s="24">
        <f t="shared" ref="AC329:AG329" si="1366">IF($L329&lt;=AC$8,1,0)</f>
        <v>1</v>
      </c>
      <c r="AD329" s="24">
        <f>ROUND(INDEX($C$2:$C$5,MATCH($E329,$B$2:$B$5,0))*$F329/SUMIFS($F:$F,$E:$E,$E329,$B:$B,$B329,AC:AC,1)*IF(B329=$B$10,0.9,1),0)</f>
        <v>250</v>
      </c>
      <c r="AE329" s="24">
        <f t="shared" si="1366"/>
        <v>1</v>
      </c>
      <c r="AF329" s="24">
        <f>ROUND(INDEX($C$2:$C$5,MATCH($E329,$B$2:$B$5,0))*$G329/SUMIFS($G:$G,$E:$E,$E329,$B:$B,$B329,AE:AE,1)*IF(B329=$B$10,0.9,1),0)</f>
        <v>250</v>
      </c>
      <c r="AG329" s="24">
        <f t="shared" si="1366"/>
        <v>1</v>
      </c>
      <c r="AH329" s="24">
        <f>ROUND(INDEX($C$2:$C$5,MATCH($E329,$B$2:$B$5,0))*$H329/SUMIFS($H:$H,$E:$E,$E329,$B:$B,$B329,AG:AG,1)*IF(B329=$B$10,0.9,1),0)</f>
        <v>250</v>
      </c>
      <c r="AI329" s="24">
        <f t="shared" ref="AI329:AM329" si="1367">IF($L329&lt;=AI$8,1,0)</f>
        <v>1</v>
      </c>
      <c r="AJ329" s="24">
        <f>ROUND(INDEX($C$2:$C$5,MATCH($E329,$B$2:$B$5,0))*$F329/SUMIFS($F:$F,$E:$E,$E329,$B:$B,$B329,AI:AI,1)*IF(B329=$B$10,0.9,1),0)</f>
        <v>250</v>
      </c>
      <c r="AK329" s="24">
        <f t="shared" si="1367"/>
        <v>1</v>
      </c>
      <c r="AL329" s="24">
        <f>ROUND(INDEX($C$2:$C$5,MATCH($E329,$B$2:$B$5,0))*$G329/SUMIFS($G:$G,$E:$E,$E329,$B:$B,$B329,AK:AK,1)*IF(B329=$B$10,0.9,1),0)</f>
        <v>250</v>
      </c>
      <c r="AM329" s="24">
        <f t="shared" si="1367"/>
        <v>1</v>
      </c>
      <c r="AN329" s="24">
        <f>ROUND(INDEX($C$2:$C$5,MATCH($E329,$B$2:$B$5,0))*$H329/SUMIFS($H:$H,$E:$E,$E329,$B:$B,$B329,AM:AM,1)*IF(B329=$B$10,0.9,1),0)</f>
        <v>250</v>
      </c>
      <c r="AX329" s="4" t="str">
        <f t="shared" si="1101"/>
        <v>1,250</v>
      </c>
      <c r="AY329" s="4" t="str">
        <f t="shared" si="1102"/>
        <v>1,300</v>
      </c>
      <c r="AZ329" s="4" t="str">
        <f t="shared" si="1103"/>
        <v>1,300</v>
      </c>
      <c r="BA329" s="4" t="str">
        <f t="shared" si="1104"/>
        <v>1,300</v>
      </c>
      <c r="BB329" s="4" t="str">
        <f t="shared" si="1105"/>
        <v>1,250</v>
      </c>
      <c r="BC329" s="4" t="str">
        <f t="shared" si="1106"/>
        <v>1,250</v>
      </c>
      <c r="BD329" s="4" t="str">
        <f t="shared" si="1107"/>
        <v>1,250</v>
      </c>
      <c r="BE329" s="4" t="str">
        <f t="shared" si="1108"/>
        <v>1,250</v>
      </c>
      <c r="BF329" s="4" t="str">
        <f t="shared" si="1109"/>
        <v>1,250</v>
      </c>
      <c r="BG329" s="4" t="str">
        <f t="shared" si="1110"/>
        <v>1,250</v>
      </c>
      <c r="BH329" s="4" t="str">
        <f t="shared" si="1111"/>
        <v>1,250</v>
      </c>
      <c r="BI329" s="4" t="str">
        <f t="shared" si="1112"/>
        <v>1,250</v>
      </c>
      <c r="BJ329" s="4" t="str">
        <f t="shared" si="1113"/>
        <v>1,250</v>
      </c>
    </row>
    <row r="330" customHeight="1" spans="1:62">
      <c r="A330" s="62">
        <f t="shared" si="1179"/>
        <v>1942</v>
      </c>
      <c r="B330" s="74" t="s">
        <v>139</v>
      </c>
      <c r="C330" s="64"/>
      <c r="D330" s="46" t="s">
        <v>141</v>
      </c>
      <c r="E330" s="65">
        <v>3</v>
      </c>
      <c r="F330" s="35">
        <v>1</v>
      </c>
      <c r="G330" s="35">
        <f t="shared" si="1114"/>
        <v>1</v>
      </c>
      <c r="H330" s="35">
        <v>1</v>
      </c>
      <c r="I330" s="35">
        <v>1</v>
      </c>
      <c r="J330" s="35">
        <v>1</v>
      </c>
      <c r="K330" s="35">
        <v>1</v>
      </c>
      <c r="L330" s="35">
        <v>2</v>
      </c>
      <c r="M330" s="35"/>
      <c r="N330">
        <f>INDEX($C$2:$C$5,MATCH(E330,$B$2:$B$5,0))</f>
        <v>1500</v>
      </c>
      <c r="O330" s="35">
        <v>1</v>
      </c>
      <c r="P330" s="24">
        <f>ROUND(INDEX($C$2:$C$5,MATCH($E330,$B$2:$B$5,0))*$F330/SUMIFS($F:$F,$E:$E,$E330,$B:$B,$B330,O:O,1)*IF(B330=$B$10,0.9,1),0)</f>
        <v>250</v>
      </c>
      <c r="Q330" s="24">
        <f t="shared" ref="Q330:U330" si="1368">IF($L330&lt;=Q$8,1,0)</f>
        <v>0</v>
      </c>
      <c r="R330" s="24">
        <f>ROUND(INDEX($C$2:$C$5,MATCH($E330,$B$2:$B$5,0))*$I330/SUMIFS($I:$I,$E:$E,$E330,$B:$B,$B330,Q:Q,1)*IF(B330=$B$10,0.9,1),0)</f>
        <v>300</v>
      </c>
      <c r="S330" s="24">
        <f t="shared" si="1368"/>
        <v>0</v>
      </c>
      <c r="T330" s="24">
        <f>ROUND(INDEX($C$2:$C$5,MATCH($E330,$B$2:$B$5,0))*$J330/SUMIFS($J:$J,$E:$E,$E330,$B:$B,$B330,S:S,1)*IF(B330=$B$10,0.9,1),0)</f>
        <v>300</v>
      </c>
      <c r="U330" s="24">
        <f t="shared" si="1368"/>
        <v>0</v>
      </c>
      <c r="V330" s="24">
        <f>ROUND(INDEX($C$2:$C$5,MATCH($E330,$B$2:$B$5,0))*$K330/SUMIFS($K:$K,$E:$E,$E330,$B:$B,$B330,U:U,1)*IF(B330=$B$10,0.9,1),0)</f>
        <v>300</v>
      </c>
      <c r="W330" s="24">
        <f t="shared" ref="W330:AA330" si="1369">IF($L330&lt;=W$8,1,0)</f>
        <v>1</v>
      </c>
      <c r="X330" s="24">
        <f>ROUND(INDEX($C$2:$C$5,MATCH($E330,$B$2:$B$5,0))*$F330/SUMIFS($F:$F,$E:$E,$E330,$B:$B,$B330,W:W,1)*IF(B330=$B$10,0.9,1),0)</f>
        <v>250</v>
      </c>
      <c r="Y330" s="24">
        <f t="shared" si="1369"/>
        <v>1</v>
      </c>
      <c r="Z330" s="24">
        <f>ROUND(INDEX($C$2:$C$5,MATCH($E330,$B$2:$B$5,0))*$G330/SUMIFS($G:$G,$E:$E,$E330,$B:$B,$B330,Y:Y,1)*IF(B330=$B$10,0.9,1),0)</f>
        <v>250</v>
      </c>
      <c r="AA330" s="24">
        <f t="shared" si="1369"/>
        <v>1</v>
      </c>
      <c r="AB330" s="24">
        <f>ROUND(INDEX($C$2:$C$5,MATCH($E330,$B$2:$B$5,0))*$H330/SUMIFS($H:$H,$E:$E,$E330,$B:$B,$B330,AA:AA,1)*IF(B330=$B$10,0.9,1),0)</f>
        <v>250</v>
      </c>
      <c r="AC330" s="24">
        <f t="shared" ref="AC330:AG330" si="1370">IF($L330&lt;=AC$8,1,0)</f>
        <v>1</v>
      </c>
      <c r="AD330" s="24">
        <f>ROUND(INDEX($C$2:$C$5,MATCH($E330,$B$2:$B$5,0))*$F330/SUMIFS($F:$F,$E:$E,$E330,$B:$B,$B330,AC:AC,1)*IF(B330=$B$10,0.9,1),0)</f>
        <v>250</v>
      </c>
      <c r="AE330" s="24">
        <f t="shared" si="1370"/>
        <v>1</v>
      </c>
      <c r="AF330" s="24">
        <f>ROUND(INDEX($C$2:$C$5,MATCH($E330,$B$2:$B$5,0))*$G330/SUMIFS($G:$G,$E:$E,$E330,$B:$B,$B330,AE:AE,1)*IF(B330=$B$10,0.9,1),0)</f>
        <v>250</v>
      </c>
      <c r="AG330" s="24">
        <f t="shared" si="1370"/>
        <v>1</v>
      </c>
      <c r="AH330" s="24">
        <f>ROUND(INDEX($C$2:$C$5,MATCH($E330,$B$2:$B$5,0))*$H330/SUMIFS($H:$H,$E:$E,$E330,$B:$B,$B330,AG:AG,1)*IF(B330=$B$10,0.9,1),0)</f>
        <v>250</v>
      </c>
      <c r="AI330" s="24">
        <f t="shared" ref="AI330:AM330" si="1371">IF($L330&lt;=AI$8,1,0)</f>
        <v>1</v>
      </c>
      <c r="AJ330" s="24">
        <f>ROUND(INDEX($C$2:$C$5,MATCH($E330,$B$2:$B$5,0))*$F330/SUMIFS($F:$F,$E:$E,$E330,$B:$B,$B330,AI:AI,1)*IF(B330=$B$10,0.9,1),0)</f>
        <v>250</v>
      </c>
      <c r="AK330" s="24">
        <f t="shared" si="1371"/>
        <v>1</v>
      </c>
      <c r="AL330" s="24">
        <f>ROUND(INDEX($C$2:$C$5,MATCH($E330,$B$2:$B$5,0))*$G330/SUMIFS($G:$G,$E:$E,$E330,$B:$B,$B330,AK:AK,1)*IF(B330=$B$10,0.9,1),0)</f>
        <v>250</v>
      </c>
      <c r="AM330" s="24">
        <f t="shared" si="1371"/>
        <v>1</v>
      </c>
      <c r="AN330" s="24">
        <f>ROUND(INDEX($C$2:$C$5,MATCH($E330,$B$2:$B$5,0))*$H330/SUMIFS($H:$H,$E:$E,$E330,$B:$B,$B330,AM:AM,1)*IF(B330=$B$10,0.9,1),0)</f>
        <v>250</v>
      </c>
      <c r="AX330" s="4" t="str">
        <f t="shared" ref="AX330:AX349" si="1372">_xlfn.TEXTJOIN(",",TRUE,O330:P330)</f>
        <v>1,250</v>
      </c>
      <c r="AY330" s="4" t="str">
        <f t="shared" ref="AY330:AY349" si="1373">_xlfn.TEXTJOIN(",",TRUE,Q330:R330)</f>
        <v>0,300</v>
      </c>
      <c r="AZ330" s="4" t="str">
        <f t="shared" ref="AZ330:AZ349" si="1374">_xlfn.TEXTJOIN(",",TRUE,S330:T330)</f>
        <v>0,300</v>
      </c>
      <c r="BA330" s="4" t="str">
        <f t="shared" ref="BA330:BA349" si="1375">_xlfn.TEXTJOIN(",",TRUE,U330:V330)</f>
        <v>0,300</v>
      </c>
      <c r="BB330" s="4" t="str">
        <f t="shared" ref="BB330:BB349" si="1376">_xlfn.TEXTJOIN(",",TRUE,W330:X330)</f>
        <v>1,250</v>
      </c>
      <c r="BC330" s="4" t="str">
        <f t="shared" ref="BC330:BC349" si="1377">_xlfn.TEXTJOIN(",",TRUE,Y330:Z330)</f>
        <v>1,250</v>
      </c>
      <c r="BD330" s="4" t="str">
        <f t="shared" ref="BD330:BD349" si="1378">_xlfn.TEXTJOIN(",",TRUE,AA330:AB330)</f>
        <v>1,250</v>
      </c>
      <c r="BE330" s="4" t="str">
        <f t="shared" ref="BE330:BE349" si="1379">_xlfn.TEXTJOIN(",",TRUE,AC330:AD330)</f>
        <v>1,250</v>
      </c>
      <c r="BF330" s="4" t="str">
        <f t="shared" ref="BF330:BF349" si="1380">_xlfn.TEXTJOIN(",",TRUE,AE330:AF330)</f>
        <v>1,250</v>
      </c>
      <c r="BG330" s="4" t="str">
        <f t="shared" ref="BG330:BG349" si="1381">_xlfn.TEXTJOIN(",",TRUE,AG330:AH330)</f>
        <v>1,250</v>
      </c>
      <c r="BH330" s="4" t="str">
        <f t="shared" ref="BH330:BH349" si="1382">_xlfn.TEXTJOIN(",",TRUE,AI330:AJ330)</f>
        <v>1,250</v>
      </c>
      <c r="BI330" s="4" t="str">
        <f t="shared" ref="BI330:BI349" si="1383">_xlfn.TEXTJOIN(",",TRUE,AK330:AL330)</f>
        <v>1,250</v>
      </c>
      <c r="BJ330" s="4" t="str">
        <f t="shared" ref="BJ330:BJ349" si="1384">_xlfn.TEXTJOIN(",",TRUE,AM330:AN330)</f>
        <v>1,250</v>
      </c>
    </row>
    <row r="331" customHeight="1" spans="1:62">
      <c r="A331" s="62">
        <f t="shared" si="1179"/>
        <v>1951</v>
      </c>
      <c r="B331" s="74" t="s">
        <v>139</v>
      </c>
      <c r="C331" s="64"/>
      <c r="D331" s="47" t="s">
        <v>427</v>
      </c>
      <c r="E331" s="65">
        <v>4</v>
      </c>
      <c r="F331" s="35">
        <v>1</v>
      </c>
      <c r="G331" s="35">
        <f t="shared" ref="G331:G349" si="1385">IF(F331&lt;1,F331*$G$7,1)</f>
        <v>1</v>
      </c>
      <c r="H331" s="35">
        <v>1</v>
      </c>
      <c r="I331" s="35">
        <v>1</v>
      </c>
      <c r="J331" s="35">
        <v>1</v>
      </c>
      <c r="K331" s="35">
        <v>1</v>
      </c>
      <c r="L331" s="35">
        <v>1</v>
      </c>
      <c r="M331" s="35" t="s">
        <v>136</v>
      </c>
      <c r="N331">
        <f>INDEX($C$2:$C$5,MATCH(E331,$B$2:$B$5,0))</f>
        <v>500</v>
      </c>
      <c r="O331" s="35">
        <v>1</v>
      </c>
      <c r="P331" s="24">
        <f>ROUND(INDEX($C$2:$C$5,MATCH($E331,$B$2:$B$5,0))*$F331/SUMIFS($F:$F,$E:$E,$E331,$B:$B,$B331,O:O,1)*IF(B331=$B$10,0.9,1),0)</f>
        <v>250</v>
      </c>
      <c r="Q331" s="24">
        <f t="shared" ref="Q331:U331" si="1386">IF($L331&lt;=Q$8,1,0)</f>
        <v>1</v>
      </c>
      <c r="R331" s="24">
        <f>ROUND(INDEX($C$2:$C$5,MATCH($E331,$B$2:$B$5,0))*$I331/SUMIFS($I:$I,$E:$E,$E331,$B:$B,$B331,Q:Q,1)*IF(B331=$B$10,0.9,1),0)</f>
        <v>500</v>
      </c>
      <c r="S331" s="24">
        <f t="shared" si="1386"/>
        <v>1</v>
      </c>
      <c r="T331" s="24">
        <f>ROUND(INDEX($C$2:$C$5,MATCH($E331,$B$2:$B$5,0))*$J331/SUMIFS($J:$J,$E:$E,$E331,$B:$B,$B331,S:S,1)*IF(B331=$B$10,0.9,1),0)</f>
        <v>500</v>
      </c>
      <c r="U331" s="24">
        <f t="shared" si="1386"/>
        <v>1</v>
      </c>
      <c r="V331" s="24">
        <f>ROUND(INDEX($C$2:$C$5,MATCH($E331,$B$2:$B$5,0))*$K331/SUMIFS($K:$K,$E:$E,$E331,$B:$B,$B331,U:U,1)*IF(B331=$B$10,0.9,1),0)</f>
        <v>500</v>
      </c>
      <c r="W331" s="24">
        <f t="shared" ref="W331:AA331" si="1387">IF($L331&lt;=W$8,1,0)</f>
        <v>1</v>
      </c>
      <c r="X331" s="24">
        <f>ROUND(INDEX($C$2:$C$5,MATCH($E331,$B$2:$B$5,0))*$F331/SUMIFS($F:$F,$E:$E,$E331,$B:$B,$B331,W:W,1)*IF(B331=$B$10,0.9,1),0)</f>
        <v>500</v>
      </c>
      <c r="Y331" s="24">
        <f t="shared" si="1387"/>
        <v>1</v>
      </c>
      <c r="Z331" s="24">
        <f>ROUND(INDEX($C$2:$C$5,MATCH($E331,$B$2:$B$5,0))*$G331/SUMIFS($G:$G,$E:$E,$E331,$B:$B,$B331,Y:Y,1)*IF(B331=$B$10,0.9,1),0)</f>
        <v>500</v>
      </c>
      <c r="AA331" s="24">
        <f t="shared" si="1387"/>
        <v>1</v>
      </c>
      <c r="AB331" s="24">
        <f>ROUND(INDEX($C$2:$C$5,MATCH($E331,$B$2:$B$5,0))*$H331/SUMIFS($H:$H,$E:$E,$E331,$B:$B,$B331,AA:AA,1)*IF(B331=$B$10,0.9,1),0)</f>
        <v>500</v>
      </c>
      <c r="AC331" s="24">
        <f t="shared" ref="AC331:AG331" si="1388">IF($L331&lt;=AC$8,1,0)</f>
        <v>1</v>
      </c>
      <c r="AD331" s="24">
        <f>ROUND(INDEX($C$2:$C$5,MATCH($E331,$B$2:$B$5,0))*$F331/SUMIFS($F:$F,$E:$E,$E331,$B:$B,$B331,AC:AC,1)*IF(B331=$B$10,0.9,1),0)</f>
        <v>250</v>
      </c>
      <c r="AE331" s="24">
        <f t="shared" si="1388"/>
        <v>1</v>
      </c>
      <c r="AF331" s="24">
        <f>ROUND(INDEX($C$2:$C$5,MATCH($E331,$B$2:$B$5,0))*$G331/SUMIFS($G:$G,$E:$E,$E331,$B:$B,$B331,AE:AE,1)*IF(B331=$B$10,0.9,1),0)</f>
        <v>250</v>
      </c>
      <c r="AG331" s="24">
        <f t="shared" si="1388"/>
        <v>1</v>
      </c>
      <c r="AH331" s="24">
        <f>ROUND(INDEX($C$2:$C$5,MATCH($E331,$B$2:$B$5,0))*$H331/SUMIFS($H:$H,$E:$E,$E331,$B:$B,$B331,AG:AG,1)*IF(B331=$B$10,0.9,1),0)</f>
        <v>250</v>
      </c>
      <c r="AI331" s="24">
        <f t="shared" ref="AI331:AM331" si="1389">IF($L331&lt;=AI$8,1,0)</f>
        <v>1</v>
      </c>
      <c r="AJ331" s="24">
        <f>ROUND(INDEX($C$2:$C$5,MATCH($E331,$B$2:$B$5,0))*$F331/SUMIFS($F:$F,$E:$E,$E331,$B:$B,$B331,AI:AI,1)*IF(B331=$B$10,0.9,1),0)</f>
        <v>250</v>
      </c>
      <c r="AK331" s="24">
        <f t="shared" si="1389"/>
        <v>1</v>
      </c>
      <c r="AL331" s="24">
        <f>ROUND(INDEX($C$2:$C$5,MATCH($E331,$B$2:$B$5,0))*$G331/SUMIFS($G:$G,$E:$E,$E331,$B:$B,$B331,AK:AK,1)*IF(B331=$B$10,0.9,1),0)</f>
        <v>250</v>
      </c>
      <c r="AM331" s="24">
        <f t="shared" si="1389"/>
        <v>1</v>
      </c>
      <c r="AN331" s="24">
        <f>ROUND(INDEX($C$2:$C$5,MATCH($E331,$B$2:$B$5,0))*$H331/SUMIFS($H:$H,$E:$E,$E331,$B:$B,$B331,AM:AM,1)*IF(B331=$B$10,0.9,1),0)</f>
        <v>250</v>
      </c>
      <c r="AX331" s="4" t="str">
        <f t="shared" si="1372"/>
        <v>1,250</v>
      </c>
      <c r="AY331" s="4" t="str">
        <f t="shared" si="1373"/>
        <v>1,500</v>
      </c>
      <c r="AZ331" s="4" t="str">
        <f t="shared" si="1374"/>
        <v>1,500</v>
      </c>
      <c r="BA331" s="4" t="str">
        <f t="shared" si="1375"/>
        <v>1,500</v>
      </c>
      <c r="BB331" s="4" t="str">
        <f t="shared" si="1376"/>
        <v>1,500</v>
      </c>
      <c r="BC331" s="4" t="str">
        <f t="shared" si="1377"/>
        <v>1,500</v>
      </c>
      <c r="BD331" s="4" t="str">
        <f t="shared" si="1378"/>
        <v>1,500</v>
      </c>
      <c r="BE331" s="4" t="str">
        <f t="shared" si="1379"/>
        <v>1,250</v>
      </c>
      <c r="BF331" s="4" t="str">
        <f t="shared" si="1380"/>
        <v>1,250</v>
      </c>
      <c r="BG331" s="4" t="str">
        <f t="shared" si="1381"/>
        <v>1,250</v>
      </c>
      <c r="BH331" s="4" t="str">
        <f t="shared" si="1382"/>
        <v>1,250</v>
      </c>
      <c r="BI331" s="4" t="str">
        <f t="shared" si="1383"/>
        <v>1,250</v>
      </c>
      <c r="BJ331" s="4" t="str">
        <f t="shared" si="1384"/>
        <v>1,250</v>
      </c>
    </row>
    <row r="332" s="36" customFormat="1" customHeight="1" spans="1:62">
      <c r="A332" s="68">
        <f t="shared" si="1179"/>
        <v>1952</v>
      </c>
      <c r="B332" s="74" t="s">
        <v>139</v>
      </c>
      <c r="C332" s="70"/>
      <c r="D332" s="48" t="s">
        <v>143</v>
      </c>
      <c r="E332" s="71">
        <v>4</v>
      </c>
      <c r="F332" s="72">
        <v>1</v>
      </c>
      <c r="G332" s="72">
        <f t="shared" si="1385"/>
        <v>1</v>
      </c>
      <c r="H332" s="72">
        <v>1</v>
      </c>
      <c r="I332" s="72">
        <v>1</v>
      </c>
      <c r="J332" s="72">
        <v>1</v>
      </c>
      <c r="K332" s="72">
        <v>1</v>
      </c>
      <c r="L332" s="72">
        <v>3</v>
      </c>
      <c r="M332" s="72"/>
      <c r="N332" s="36">
        <f>INDEX($C$2:$C$5,MATCH(E332,$B$2:$B$5,0))</f>
        <v>500</v>
      </c>
      <c r="O332" s="72">
        <v>1</v>
      </c>
      <c r="P332" s="79">
        <f>ROUND(INDEX($C$2:$C$5,MATCH($E332,$B$2:$B$5,0))*$F332/SUMIFS($F:$F,$E:$E,$E332,$B:$B,$B332,O:O,1)*IF(B332=$B$10,0.9,1),0)</f>
        <v>250</v>
      </c>
      <c r="Q332" s="79">
        <f t="shared" ref="Q332:U332" si="1390">IF($L332&lt;=Q$8,1,0)</f>
        <v>0</v>
      </c>
      <c r="R332" s="79">
        <f>ROUND(INDEX($C$2:$C$5,MATCH($E332,$B$2:$B$5,0))*$I332/SUMIFS($I:$I,$E:$E,$E332,$B:$B,$B332,Q:Q,1)*IF(B332=$B$10,0.9,1),0)</f>
        <v>500</v>
      </c>
      <c r="S332" s="79">
        <f t="shared" si="1390"/>
        <v>0</v>
      </c>
      <c r="T332" s="79">
        <f>ROUND(INDEX($C$2:$C$5,MATCH($E332,$B$2:$B$5,0))*$J332/SUMIFS($J:$J,$E:$E,$E332,$B:$B,$B332,S:S,1)*IF(B332=$B$10,0.9,1),0)</f>
        <v>500</v>
      </c>
      <c r="U332" s="79">
        <f t="shared" si="1390"/>
        <v>0</v>
      </c>
      <c r="V332" s="79">
        <f>ROUND(INDEX($C$2:$C$5,MATCH($E332,$B$2:$B$5,0))*$K332/SUMIFS($K:$K,$E:$E,$E332,$B:$B,$B332,U:U,1)*IF(B332=$B$10,0.9,1),0)</f>
        <v>500</v>
      </c>
      <c r="W332" s="79">
        <f t="shared" ref="W332:AA332" si="1391">IF($L332&lt;=W$8,1,0)</f>
        <v>0</v>
      </c>
      <c r="X332" s="79">
        <f>ROUND(INDEX($C$2:$C$5,MATCH($E332,$B$2:$B$5,0))*$F332/SUMIFS($F:$F,$E:$E,$E332,$B:$B,$B332,W:W,1)*IF(B332=$B$10,0.9,1),0)</f>
        <v>500</v>
      </c>
      <c r="Y332" s="79">
        <f t="shared" si="1391"/>
        <v>0</v>
      </c>
      <c r="Z332" s="79">
        <f>ROUND(INDEX($C$2:$C$5,MATCH($E332,$B$2:$B$5,0))*$G332/SUMIFS($G:$G,$E:$E,$E332,$B:$B,$B332,Y:Y,1)*IF(B332=$B$10,0.9,1),0)</f>
        <v>500</v>
      </c>
      <c r="AA332" s="79">
        <f t="shared" si="1391"/>
        <v>0</v>
      </c>
      <c r="AB332" s="79">
        <f>ROUND(INDEX($C$2:$C$5,MATCH($E332,$B$2:$B$5,0))*$H332/SUMIFS($H:$H,$E:$E,$E332,$B:$B,$B332,AA:AA,1)*IF(B332=$B$10,0.9,1),0)</f>
        <v>500</v>
      </c>
      <c r="AC332" s="79">
        <f t="shared" ref="AC332:AG332" si="1392">IF($L332&lt;=AC$8,1,0)</f>
        <v>1</v>
      </c>
      <c r="AD332" s="79">
        <f>ROUND(INDEX($C$2:$C$5,MATCH($E332,$B$2:$B$5,0))*$F332/SUMIFS($F:$F,$E:$E,$E332,$B:$B,$B332,AC:AC,1)*IF(B332=$B$10,0.9,1),0)</f>
        <v>250</v>
      </c>
      <c r="AE332" s="79">
        <f t="shared" si="1392"/>
        <v>1</v>
      </c>
      <c r="AF332" s="79">
        <f>ROUND(INDEX($C$2:$C$5,MATCH($E332,$B$2:$B$5,0))*$G332/SUMIFS($G:$G,$E:$E,$E332,$B:$B,$B332,AE:AE,1)*IF(B332=$B$10,0.9,1),0)</f>
        <v>250</v>
      </c>
      <c r="AG332" s="79">
        <f t="shared" si="1392"/>
        <v>1</v>
      </c>
      <c r="AH332" s="79">
        <f>ROUND(INDEX($C$2:$C$5,MATCH($E332,$B$2:$B$5,0))*$H332/SUMIFS($H:$H,$E:$E,$E332,$B:$B,$B332,AG:AG,1)*IF(B332=$B$10,0.9,1),0)</f>
        <v>250</v>
      </c>
      <c r="AI332" s="79">
        <f t="shared" ref="AI332:AM332" si="1393">IF($L332&lt;=AI$8,1,0)</f>
        <v>1</v>
      </c>
      <c r="AJ332" s="79">
        <f>ROUND(INDEX($C$2:$C$5,MATCH($E332,$B$2:$B$5,0))*$F332/SUMIFS($F:$F,$E:$E,$E332,$B:$B,$B332,AI:AI,1)*IF(B332=$B$10,0.9,1),0)</f>
        <v>250</v>
      </c>
      <c r="AK332" s="79">
        <f t="shared" si="1393"/>
        <v>1</v>
      </c>
      <c r="AL332" s="79">
        <f>ROUND(INDEX($C$2:$C$5,MATCH($E332,$B$2:$B$5,0))*$G332/SUMIFS($G:$G,$E:$E,$E332,$B:$B,$B332,AK:AK,1)*IF(B332=$B$10,0.9,1),0)</f>
        <v>250</v>
      </c>
      <c r="AM332" s="79">
        <f t="shared" si="1393"/>
        <v>1</v>
      </c>
      <c r="AN332" s="79">
        <f>ROUND(INDEX($C$2:$C$5,MATCH($E332,$B$2:$B$5,0))*$H332/SUMIFS($H:$H,$E:$E,$E332,$B:$B,$B332,AM:AM,1)*IF(B332=$B$10,0.9,1),0)</f>
        <v>250</v>
      </c>
      <c r="AX332" s="81" t="str">
        <f t="shared" si="1372"/>
        <v>1,250</v>
      </c>
      <c r="AY332" s="81" t="str">
        <f t="shared" si="1373"/>
        <v>0,500</v>
      </c>
      <c r="AZ332" s="81" t="str">
        <f t="shared" si="1374"/>
        <v>0,500</v>
      </c>
      <c r="BA332" s="81" t="str">
        <f t="shared" si="1375"/>
        <v>0,500</v>
      </c>
      <c r="BB332" s="81" t="str">
        <f t="shared" si="1376"/>
        <v>0,500</v>
      </c>
      <c r="BC332" s="81" t="str">
        <f t="shared" si="1377"/>
        <v>0,500</v>
      </c>
      <c r="BD332" s="81" t="str">
        <f t="shared" si="1378"/>
        <v>0,500</v>
      </c>
      <c r="BE332" s="81" t="str">
        <f t="shared" si="1379"/>
        <v>1,250</v>
      </c>
      <c r="BF332" s="81" t="str">
        <f t="shared" si="1380"/>
        <v>1,250</v>
      </c>
      <c r="BG332" s="81" t="str">
        <f t="shared" si="1381"/>
        <v>1,250</v>
      </c>
      <c r="BH332" s="81" t="str">
        <f t="shared" si="1382"/>
        <v>1,250</v>
      </c>
      <c r="BI332" s="81" t="str">
        <f t="shared" si="1383"/>
        <v>1,250</v>
      </c>
      <c r="BJ332" s="81" t="str">
        <f t="shared" si="1384"/>
        <v>1,250</v>
      </c>
    </row>
    <row r="333" customHeight="1" spans="1:62">
      <c r="A333" s="73">
        <f t="shared" si="1179"/>
        <v>2001</v>
      </c>
      <c r="B333" s="74" t="s">
        <v>144</v>
      </c>
      <c r="C333" s="75" t="s">
        <v>218</v>
      </c>
      <c r="D333" s="76" t="s">
        <v>356</v>
      </c>
      <c r="E333" s="77">
        <v>1</v>
      </c>
      <c r="F333" s="78">
        <v>1</v>
      </c>
      <c r="G333" s="78">
        <f t="shared" si="1385"/>
        <v>1</v>
      </c>
      <c r="H333" s="78">
        <v>1</v>
      </c>
      <c r="I333" s="78">
        <v>1</v>
      </c>
      <c r="J333" s="78">
        <v>1</v>
      </c>
      <c r="K333" s="78">
        <v>1</v>
      </c>
      <c r="L333" s="78">
        <v>1</v>
      </c>
      <c r="M333" s="78"/>
      <c r="N333">
        <f>INDEX($C$2:$C$5,MATCH(E333,$B$2:$B$5,0))</f>
        <v>13500</v>
      </c>
      <c r="O333" s="78">
        <v>1</v>
      </c>
      <c r="P333" s="80">
        <f>ROUND(INDEX($C$2:$C$5,MATCH($E333,$B$2:$B$5,0))*$F333/SUMIFS($F:$F,$E:$E,$E333,$B:$B,$B333,O:O,1)*IF(B333=$B$10,0.9,1),0)</f>
        <v>4500</v>
      </c>
      <c r="Q333" s="80">
        <f t="shared" ref="Q333:U333" si="1394">IF($L333&lt;=Q$8,1,0)</f>
        <v>1</v>
      </c>
      <c r="R333" s="80">
        <f>ROUND(INDEX($C$2:$C$5,MATCH($E333,$B$2:$B$5,0))*$I333/SUMIFS($I:$I,$E:$E,$E333,$B:$B,$B333,Q:Q,1)*IF(B333=$B$10,0.9,1),0)</f>
        <v>4500</v>
      </c>
      <c r="S333" s="80">
        <f t="shared" si="1394"/>
        <v>1</v>
      </c>
      <c r="T333" s="80">
        <f>ROUND(INDEX($C$2:$C$5,MATCH($E333,$B$2:$B$5,0))*$J333/SUMIFS($J:$J,$E:$E,$E333,$B:$B,$B333,S:S,1)*IF(B333=$B$10,0.9,1),0)</f>
        <v>4500</v>
      </c>
      <c r="U333" s="80">
        <f t="shared" si="1394"/>
        <v>1</v>
      </c>
      <c r="V333" s="80">
        <f>ROUND(INDEX($C$2:$C$5,MATCH($E333,$B$2:$B$5,0))*$K333/SUMIFS($K:$K,$E:$E,$E333,$B:$B,$B333,U:U,1)*IF(B333=$B$10,0.9,1),0)</f>
        <v>4500</v>
      </c>
      <c r="W333" s="80">
        <f t="shared" ref="W333:AA333" si="1395">IF($L333&lt;=W$8,1,0)</f>
        <v>1</v>
      </c>
      <c r="X333" s="80">
        <f>ROUND(INDEX($C$2:$C$5,MATCH($E333,$B$2:$B$5,0))*$F333/SUMIFS($F:$F,$E:$E,$E333,$B:$B,$B333,W:W,1)*IF(B333=$B$10,0.9,1),0)</f>
        <v>4500</v>
      </c>
      <c r="Y333" s="80">
        <f t="shared" si="1395"/>
        <v>1</v>
      </c>
      <c r="Z333" s="80">
        <f>ROUND(INDEX($C$2:$C$5,MATCH($E333,$B$2:$B$5,0))*$G333/SUMIFS($G:$G,$E:$E,$E333,$B:$B,$B333,Y:Y,1)*IF(B333=$B$10,0.9,1),0)</f>
        <v>4500</v>
      </c>
      <c r="AA333" s="80">
        <f t="shared" si="1395"/>
        <v>1</v>
      </c>
      <c r="AB333" s="80">
        <f>ROUND(INDEX($C$2:$C$5,MATCH($E333,$B$2:$B$5,0))*$H333/SUMIFS($H:$H,$E:$E,$E333,$B:$B,$B333,AA:AA,1)*IF(B333=$B$10,0.9,1),0)</f>
        <v>4500</v>
      </c>
      <c r="AC333" s="80">
        <f t="shared" ref="AC333:AG333" si="1396">IF($L333&lt;=AC$8,1,0)</f>
        <v>1</v>
      </c>
      <c r="AD333" s="80">
        <f>ROUND(INDEX($C$2:$C$5,MATCH($E333,$B$2:$B$5,0))*$F333/SUMIFS($F:$F,$E:$E,$E333,$B:$B,$B333,AC:AC,1)*IF(B333=$B$10,0.9,1),0)</f>
        <v>4500</v>
      </c>
      <c r="AE333" s="80">
        <f t="shared" si="1396"/>
        <v>1</v>
      </c>
      <c r="AF333" s="80">
        <f>ROUND(INDEX($C$2:$C$5,MATCH($E333,$B$2:$B$5,0))*$G333/SUMIFS($G:$G,$E:$E,$E333,$B:$B,$B333,AE:AE,1)*IF(B333=$B$10,0.9,1),0)</f>
        <v>4500</v>
      </c>
      <c r="AG333" s="80">
        <f t="shared" si="1396"/>
        <v>1</v>
      </c>
      <c r="AH333" s="80">
        <f>ROUND(INDEX($C$2:$C$5,MATCH($E333,$B$2:$B$5,0))*$H333/SUMIFS($H:$H,$E:$E,$E333,$B:$B,$B333,AG:AG,1)*IF(B333=$B$10,0.9,1),0)</f>
        <v>4500</v>
      </c>
      <c r="AI333" s="80">
        <f t="shared" ref="AI333:AM333" si="1397">IF($L333&lt;=AI$8,1,0)</f>
        <v>1</v>
      </c>
      <c r="AJ333" s="80">
        <f>ROUND(INDEX($C$2:$C$5,MATCH($E333,$B$2:$B$5,0))*$F333/SUMIFS($F:$F,$E:$E,$E333,$B:$B,$B333,AI:AI,1)*IF(B333=$B$10,0.9,1),0)</f>
        <v>4500</v>
      </c>
      <c r="AK333" s="80">
        <f t="shared" si="1397"/>
        <v>1</v>
      </c>
      <c r="AL333" s="80">
        <f>ROUND(INDEX($C$2:$C$5,MATCH($E333,$B$2:$B$5,0))*$G333/SUMIFS($G:$G,$E:$E,$E333,$B:$B,$B333,AK:AK,1)*IF(B333=$B$10,0.9,1),0)</f>
        <v>4500</v>
      </c>
      <c r="AM333" s="80">
        <f t="shared" si="1397"/>
        <v>1</v>
      </c>
      <c r="AN333" s="80">
        <f>ROUND(INDEX($C$2:$C$5,MATCH($E333,$B$2:$B$5,0))*$H333/SUMIFS($H:$H,$E:$E,$E333,$B:$B,$B333,AM:AM,1)*IF(B333=$B$10,0.9,1),0)</f>
        <v>4500</v>
      </c>
      <c r="AX333" s="4" t="str">
        <f t="shared" si="1372"/>
        <v>1,4500</v>
      </c>
      <c r="AY333" s="4" t="str">
        <f t="shared" si="1373"/>
        <v>1,4500</v>
      </c>
      <c r="AZ333" s="4" t="str">
        <f t="shared" si="1374"/>
        <v>1,4500</v>
      </c>
      <c r="BA333" s="4" t="str">
        <f t="shared" si="1375"/>
        <v>1,4500</v>
      </c>
      <c r="BB333" s="4" t="str">
        <f t="shared" si="1376"/>
        <v>1,4500</v>
      </c>
      <c r="BC333" s="4" t="str">
        <f t="shared" si="1377"/>
        <v>1,4500</v>
      </c>
      <c r="BD333" s="4" t="str">
        <f t="shared" si="1378"/>
        <v>1,4500</v>
      </c>
      <c r="BE333" s="4" t="str">
        <f t="shared" si="1379"/>
        <v>1,4500</v>
      </c>
      <c r="BF333" s="4" t="str">
        <f t="shared" si="1380"/>
        <v>1,4500</v>
      </c>
      <c r="BG333" s="4" t="str">
        <f t="shared" si="1381"/>
        <v>1,4500</v>
      </c>
      <c r="BH333" s="4" t="str">
        <f t="shared" si="1382"/>
        <v>1,4500</v>
      </c>
      <c r="BI333" s="4" t="str">
        <f t="shared" si="1383"/>
        <v>1,4500</v>
      </c>
      <c r="BJ333" s="4" t="str">
        <f t="shared" si="1384"/>
        <v>1,4500</v>
      </c>
    </row>
    <row r="334" customHeight="1" spans="1:62">
      <c r="A334" s="62">
        <f t="shared" si="1179"/>
        <v>2002</v>
      </c>
      <c r="B334" s="74" t="s">
        <v>144</v>
      </c>
      <c r="C334" s="64" t="s">
        <v>218</v>
      </c>
      <c r="D334" s="41" t="s">
        <v>357</v>
      </c>
      <c r="E334" s="67">
        <v>1</v>
      </c>
      <c r="F334" s="35">
        <v>1</v>
      </c>
      <c r="G334" s="35">
        <f t="shared" si="1385"/>
        <v>1</v>
      </c>
      <c r="H334" s="35">
        <v>1</v>
      </c>
      <c r="I334" s="35">
        <v>1</v>
      </c>
      <c r="J334" s="35">
        <v>1</v>
      </c>
      <c r="K334" s="35">
        <v>1</v>
      </c>
      <c r="L334" s="35">
        <v>1</v>
      </c>
      <c r="M334" s="35"/>
      <c r="N334">
        <f>INDEX($C$2:$C$5,MATCH(E334,$B$2:$B$5,0))</f>
        <v>13500</v>
      </c>
      <c r="O334" s="35">
        <v>1</v>
      </c>
      <c r="P334" s="24">
        <f>ROUND(INDEX($C$2:$C$5,MATCH($E334,$B$2:$B$5,0))*$F334/SUMIFS($F:$F,$E:$E,$E334,$B:$B,$B334,O:O,1)*IF(B334=$B$10,0.9,1),0)</f>
        <v>4500</v>
      </c>
      <c r="Q334" s="24">
        <f t="shared" ref="Q334:U334" si="1398">IF($L334&lt;=Q$8,1,0)</f>
        <v>1</v>
      </c>
      <c r="R334" s="24">
        <f>ROUND(INDEX($C$2:$C$5,MATCH($E334,$B$2:$B$5,0))*$I334/SUMIFS($I:$I,$E:$E,$E334,$B:$B,$B334,Q:Q,1)*IF(B334=$B$10,0.9,1),0)</f>
        <v>4500</v>
      </c>
      <c r="S334" s="24">
        <f t="shared" si="1398"/>
        <v>1</v>
      </c>
      <c r="T334" s="24">
        <f>ROUND(INDEX($C$2:$C$5,MATCH($E334,$B$2:$B$5,0))*$J334/SUMIFS($J:$J,$E:$E,$E334,$B:$B,$B334,S:S,1)*IF(B334=$B$10,0.9,1),0)</f>
        <v>4500</v>
      </c>
      <c r="U334" s="24">
        <f t="shared" si="1398"/>
        <v>1</v>
      </c>
      <c r="V334" s="24">
        <f>ROUND(INDEX($C$2:$C$5,MATCH($E334,$B$2:$B$5,0))*$K334/SUMIFS($K:$K,$E:$E,$E334,$B:$B,$B334,U:U,1)*IF(B334=$B$10,0.9,1),0)</f>
        <v>4500</v>
      </c>
      <c r="W334" s="24">
        <f t="shared" ref="W334:AA334" si="1399">IF($L334&lt;=W$8,1,0)</f>
        <v>1</v>
      </c>
      <c r="X334" s="24">
        <f>ROUND(INDEX($C$2:$C$5,MATCH($E334,$B$2:$B$5,0))*$F334/SUMIFS($F:$F,$E:$E,$E334,$B:$B,$B334,W:W,1)*IF(B334=$B$10,0.9,1),0)</f>
        <v>4500</v>
      </c>
      <c r="Y334" s="24">
        <f t="shared" si="1399"/>
        <v>1</v>
      </c>
      <c r="Z334" s="24">
        <f>ROUND(INDEX($C$2:$C$5,MATCH($E334,$B$2:$B$5,0))*$G334/SUMIFS($G:$G,$E:$E,$E334,$B:$B,$B334,Y:Y,1)*IF(B334=$B$10,0.9,1),0)</f>
        <v>4500</v>
      </c>
      <c r="AA334" s="24">
        <f t="shared" si="1399"/>
        <v>1</v>
      </c>
      <c r="AB334" s="24">
        <f>ROUND(INDEX($C$2:$C$5,MATCH($E334,$B$2:$B$5,0))*$H334/SUMIFS($H:$H,$E:$E,$E334,$B:$B,$B334,AA:AA,1)*IF(B334=$B$10,0.9,1),0)</f>
        <v>4500</v>
      </c>
      <c r="AC334" s="24">
        <f t="shared" ref="AC334:AG334" si="1400">IF($L334&lt;=AC$8,1,0)</f>
        <v>1</v>
      </c>
      <c r="AD334" s="24">
        <f>ROUND(INDEX($C$2:$C$5,MATCH($E334,$B$2:$B$5,0))*$F334/SUMIFS($F:$F,$E:$E,$E334,$B:$B,$B334,AC:AC,1)*IF(B334=$B$10,0.9,1),0)</f>
        <v>4500</v>
      </c>
      <c r="AE334" s="24">
        <f t="shared" si="1400"/>
        <v>1</v>
      </c>
      <c r="AF334" s="24">
        <f>ROUND(INDEX($C$2:$C$5,MATCH($E334,$B$2:$B$5,0))*$G334/SUMIFS($G:$G,$E:$E,$E334,$B:$B,$B334,AE:AE,1)*IF(B334=$B$10,0.9,1),0)</f>
        <v>4500</v>
      </c>
      <c r="AG334" s="24">
        <f t="shared" si="1400"/>
        <v>1</v>
      </c>
      <c r="AH334" s="24">
        <f>ROUND(INDEX($C$2:$C$5,MATCH($E334,$B$2:$B$5,0))*$H334/SUMIFS($H:$H,$E:$E,$E334,$B:$B,$B334,AG:AG,1)*IF(B334=$B$10,0.9,1),0)</f>
        <v>4500</v>
      </c>
      <c r="AI334" s="24">
        <f t="shared" ref="AI334:AM334" si="1401">IF($L334&lt;=AI$8,1,0)</f>
        <v>1</v>
      </c>
      <c r="AJ334" s="24">
        <f>ROUND(INDEX($C$2:$C$5,MATCH($E334,$B$2:$B$5,0))*$F334/SUMIFS($F:$F,$E:$E,$E334,$B:$B,$B334,AI:AI,1)*IF(B334=$B$10,0.9,1),0)</f>
        <v>4500</v>
      </c>
      <c r="AK334" s="24">
        <f t="shared" si="1401"/>
        <v>1</v>
      </c>
      <c r="AL334" s="24">
        <f>ROUND(INDEX($C$2:$C$5,MATCH($E334,$B$2:$B$5,0))*$G334/SUMIFS($G:$G,$E:$E,$E334,$B:$B,$B334,AK:AK,1)*IF(B334=$B$10,0.9,1),0)</f>
        <v>4500</v>
      </c>
      <c r="AM334" s="24">
        <f t="shared" si="1401"/>
        <v>1</v>
      </c>
      <c r="AN334" s="24">
        <f>ROUND(INDEX($C$2:$C$5,MATCH($E334,$B$2:$B$5,0))*$H334/SUMIFS($H:$H,$E:$E,$E334,$B:$B,$B334,AM:AM,1)*IF(B334=$B$10,0.9,1),0)</f>
        <v>4500</v>
      </c>
      <c r="AX334" s="4" t="str">
        <f t="shared" si="1372"/>
        <v>1,4500</v>
      </c>
      <c r="AY334" s="4" t="str">
        <f t="shared" si="1373"/>
        <v>1,4500</v>
      </c>
      <c r="AZ334" s="4" t="str">
        <f t="shared" si="1374"/>
        <v>1,4500</v>
      </c>
      <c r="BA334" s="4" t="str">
        <f t="shared" si="1375"/>
        <v>1,4500</v>
      </c>
      <c r="BB334" s="4" t="str">
        <f t="shared" si="1376"/>
        <v>1,4500</v>
      </c>
      <c r="BC334" s="4" t="str">
        <f t="shared" si="1377"/>
        <v>1,4500</v>
      </c>
      <c r="BD334" s="4" t="str">
        <f t="shared" si="1378"/>
        <v>1,4500</v>
      </c>
      <c r="BE334" s="4" t="str">
        <f t="shared" si="1379"/>
        <v>1,4500</v>
      </c>
      <c r="BF334" s="4" t="str">
        <f t="shared" si="1380"/>
        <v>1,4500</v>
      </c>
      <c r="BG334" s="4" t="str">
        <f t="shared" si="1381"/>
        <v>1,4500</v>
      </c>
      <c r="BH334" s="4" t="str">
        <f t="shared" si="1382"/>
        <v>1,4500</v>
      </c>
      <c r="BI334" s="4" t="str">
        <f t="shared" si="1383"/>
        <v>1,4500</v>
      </c>
      <c r="BJ334" s="4" t="str">
        <f t="shared" si="1384"/>
        <v>1,4500</v>
      </c>
    </row>
    <row r="335" customHeight="1" spans="1:62">
      <c r="A335" s="62">
        <f t="shared" si="1179"/>
        <v>2003</v>
      </c>
      <c r="B335" s="74" t="s">
        <v>144</v>
      </c>
      <c r="C335" s="64"/>
      <c r="D335" s="41" t="s">
        <v>361</v>
      </c>
      <c r="E335" s="62">
        <v>1</v>
      </c>
      <c r="F335" s="35">
        <v>1</v>
      </c>
      <c r="G335" s="35">
        <f t="shared" si="1385"/>
        <v>1</v>
      </c>
      <c r="H335" s="35">
        <v>1</v>
      </c>
      <c r="I335" s="35">
        <v>1</v>
      </c>
      <c r="J335" s="35">
        <v>1</v>
      </c>
      <c r="K335" s="35">
        <v>1</v>
      </c>
      <c r="L335" s="35">
        <v>1</v>
      </c>
      <c r="M335" s="35"/>
      <c r="N335">
        <f>INDEX($C$2:$C$5,MATCH(E335,$B$2:$B$5,0))</f>
        <v>13500</v>
      </c>
      <c r="O335" s="35">
        <v>1</v>
      </c>
      <c r="P335" s="24">
        <f>ROUND(INDEX($C$2:$C$5,MATCH($E335,$B$2:$B$5,0))*$F335/SUMIFS($F:$F,$E:$E,$E335,$B:$B,$B335,O:O,1)*IF(B335=$B$10,0.9,1),0)</f>
        <v>4500</v>
      </c>
      <c r="Q335" s="24">
        <f t="shared" ref="Q335:U335" si="1402">IF($L335&lt;=Q$8,1,0)</f>
        <v>1</v>
      </c>
      <c r="R335" s="24">
        <f>ROUND(INDEX($C$2:$C$5,MATCH($E335,$B$2:$B$5,0))*$I335/SUMIFS($I:$I,$E:$E,$E335,$B:$B,$B335,Q:Q,1)*IF(B335=$B$10,0.9,1),0)</f>
        <v>4500</v>
      </c>
      <c r="S335" s="24">
        <f t="shared" si="1402"/>
        <v>1</v>
      </c>
      <c r="T335" s="24">
        <f>ROUND(INDEX($C$2:$C$5,MATCH($E335,$B$2:$B$5,0))*$J335/SUMIFS($J:$J,$E:$E,$E335,$B:$B,$B335,S:S,1)*IF(B335=$B$10,0.9,1),0)</f>
        <v>4500</v>
      </c>
      <c r="U335" s="24">
        <f t="shared" si="1402"/>
        <v>1</v>
      </c>
      <c r="V335" s="24">
        <f>ROUND(INDEX($C$2:$C$5,MATCH($E335,$B$2:$B$5,0))*$K335/SUMIFS($K:$K,$E:$E,$E335,$B:$B,$B335,U:U,1)*IF(B335=$B$10,0.9,1),0)</f>
        <v>4500</v>
      </c>
      <c r="W335" s="24">
        <f t="shared" ref="W335:AA335" si="1403">IF($L335&lt;=W$8,1,0)</f>
        <v>1</v>
      </c>
      <c r="X335" s="24">
        <f>ROUND(INDEX($C$2:$C$5,MATCH($E335,$B$2:$B$5,0))*$F335/SUMIFS($F:$F,$E:$E,$E335,$B:$B,$B335,W:W,1)*IF(B335=$B$10,0.9,1),0)</f>
        <v>4500</v>
      </c>
      <c r="Y335" s="24">
        <f t="shared" si="1403"/>
        <v>1</v>
      </c>
      <c r="Z335" s="24">
        <f>ROUND(INDEX($C$2:$C$5,MATCH($E335,$B$2:$B$5,0))*$G335/SUMIFS($G:$G,$E:$E,$E335,$B:$B,$B335,Y:Y,1)*IF(B335=$B$10,0.9,1),0)</f>
        <v>4500</v>
      </c>
      <c r="AA335" s="24">
        <f t="shared" si="1403"/>
        <v>1</v>
      </c>
      <c r="AB335" s="24">
        <f>ROUND(INDEX($C$2:$C$5,MATCH($E335,$B$2:$B$5,0))*$H335/SUMIFS($H:$H,$E:$E,$E335,$B:$B,$B335,AA:AA,1)*IF(B335=$B$10,0.9,1),0)</f>
        <v>4500</v>
      </c>
      <c r="AC335" s="24">
        <f t="shared" ref="AC335:AG335" si="1404">IF($L335&lt;=AC$8,1,0)</f>
        <v>1</v>
      </c>
      <c r="AD335" s="24">
        <f>ROUND(INDEX($C$2:$C$5,MATCH($E335,$B$2:$B$5,0))*$F335/SUMIFS($F:$F,$E:$E,$E335,$B:$B,$B335,AC:AC,1)*IF(B335=$B$10,0.9,1),0)</f>
        <v>4500</v>
      </c>
      <c r="AE335" s="24">
        <f t="shared" si="1404"/>
        <v>1</v>
      </c>
      <c r="AF335" s="24">
        <f>ROUND(INDEX($C$2:$C$5,MATCH($E335,$B$2:$B$5,0))*$G335/SUMIFS($G:$G,$E:$E,$E335,$B:$B,$B335,AE:AE,1)*IF(B335=$B$10,0.9,1),0)</f>
        <v>4500</v>
      </c>
      <c r="AG335" s="24">
        <f t="shared" si="1404"/>
        <v>1</v>
      </c>
      <c r="AH335" s="24">
        <f>ROUND(INDEX($C$2:$C$5,MATCH($E335,$B$2:$B$5,0))*$H335/SUMIFS($H:$H,$E:$E,$E335,$B:$B,$B335,AG:AG,1)*IF(B335=$B$10,0.9,1),0)</f>
        <v>4500</v>
      </c>
      <c r="AI335" s="24">
        <f t="shared" ref="AI335:AM335" si="1405">IF($L335&lt;=AI$8,1,0)</f>
        <v>1</v>
      </c>
      <c r="AJ335" s="24">
        <f>ROUND(INDEX($C$2:$C$5,MATCH($E335,$B$2:$B$5,0))*$F335/SUMIFS($F:$F,$E:$E,$E335,$B:$B,$B335,AI:AI,1)*IF(B335=$B$10,0.9,1),0)</f>
        <v>4500</v>
      </c>
      <c r="AK335" s="24">
        <f t="shared" si="1405"/>
        <v>1</v>
      </c>
      <c r="AL335" s="24">
        <f>ROUND(INDEX($C$2:$C$5,MATCH($E335,$B$2:$B$5,0))*$G335/SUMIFS($G:$G,$E:$E,$E335,$B:$B,$B335,AK:AK,1)*IF(B335=$B$10,0.9,1),0)</f>
        <v>4500</v>
      </c>
      <c r="AM335" s="24">
        <f t="shared" si="1405"/>
        <v>1</v>
      </c>
      <c r="AN335" s="24">
        <f>ROUND(INDEX($C$2:$C$5,MATCH($E335,$B$2:$B$5,0))*$H335/SUMIFS($H:$H,$E:$E,$E335,$B:$B,$B335,AM:AM,1)*IF(B335=$B$10,0.9,1),0)</f>
        <v>4500</v>
      </c>
      <c r="AX335" s="4" t="str">
        <f t="shared" si="1372"/>
        <v>1,4500</v>
      </c>
      <c r="AY335" s="4" t="str">
        <f t="shared" si="1373"/>
        <v>1,4500</v>
      </c>
      <c r="AZ335" s="4" t="str">
        <f t="shared" si="1374"/>
        <v>1,4500</v>
      </c>
      <c r="BA335" s="4" t="str">
        <f t="shared" si="1375"/>
        <v>1,4500</v>
      </c>
      <c r="BB335" s="4" t="str">
        <f t="shared" si="1376"/>
        <v>1,4500</v>
      </c>
      <c r="BC335" s="4" t="str">
        <f t="shared" si="1377"/>
        <v>1,4500</v>
      </c>
      <c r="BD335" s="4" t="str">
        <f t="shared" si="1378"/>
        <v>1,4500</v>
      </c>
      <c r="BE335" s="4" t="str">
        <f t="shared" si="1379"/>
        <v>1,4500</v>
      </c>
      <c r="BF335" s="4" t="str">
        <f t="shared" si="1380"/>
        <v>1,4500</v>
      </c>
      <c r="BG335" s="4" t="str">
        <f t="shared" si="1381"/>
        <v>1,4500</v>
      </c>
      <c r="BH335" s="4" t="str">
        <f t="shared" si="1382"/>
        <v>1,4500</v>
      </c>
      <c r="BI335" s="4" t="str">
        <f t="shared" si="1383"/>
        <v>1,4500</v>
      </c>
      <c r="BJ335" s="4" t="str">
        <f t="shared" si="1384"/>
        <v>1,4500</v>
      </c>
    </row>
    <row r="336" customHeight="1" spans="1:62">
      <c r="A336" s="62">
        <f t="shared" si="1179"/>
        <v>2011</v>
      </c>
      <c r="B336" s="74" t="s">
        <v>144</v>
      </c>
      <c r="C336" s="64"/>
      <c r="D336" s="44" t="s">
        <v>362</v>
      </c>
      <c r="E336" s="65">
        <v>2</v>
      </c>
      <c r="F336" s="35">
        <v>1</v>
      </c>
      <c r="G336" s="35">
        <f t="shared" si="1385"/>
        <v>1</v>
      </c>
      <c r="H336" s="35">
        <v>1</v>
      </c>
      <c r="I336" s="35">
        <v>1</v>
      </c>
      <c r="J336" s="35">
        <v>1</v>
      </c>
      <c r="K336" s="35">
        <v>1</v>
      </c>
      <c r="L336" s="35">
        <v>1</v>
      </c>
      <c r="M336" s="35"/>
      <c r="N336">
        <f>INDEX($C$2:$C$5,MATCH(E336,$B$2:$B$5,0))</f>
        <v>4500</v>
      </c>
      <c r="O336" s="35">
        <v>1</v>
      </c>
      <c r="P336" s="24">
        <f>ROUND(INDEX($C$2:$C$5,MATCH($E336,$B$2:$B$5,0))*$F336/SUMIFS($F:$F,$E:$E,$E336,$B:$B,$B336,O:O,1)*IF(B336=$B$10,0.9,1),0)</f>
        <v>750</v>
      </c>
      <c r="Q336" s="24">
        <f t="shared" ref="Q336:U336" si="1406">IF($L336&lt;=Q$8,1,0)</f>
        <v>1</v>
      </c>
      <c r="R336" s="24">
        <f>ROUND(INDEX($C$2:$C$5,MATCH($E336,$B$2:$B$5,0))*$I336/SUMIFS($I:$I,$E:$E,$E336,$B:$B,$B336,Q:Q,1)*IF(B336=$B$10,0.9,1),0)</f>
        <v>900</v>
      </c>
      <c r="S336" s="24">
        <f t="shared" si="1406"/>
        <v>1</v>
      </c>
      <c r="T336" s="24">
        <f>ROUND(INDEX($C$2:$C$5,MATCH($E336,$B$2:$B$5,0))*$J336/SUMIFS($J:$J,$E:$E,$E336,$B:$B,$B336,S:S,1)*IF(B336=$B$10,0.9,1),0)</f>
        <v>900</v>
      </c>
      <c r="U336" s="24">
        <f t="shared" si="1406"/>
        <v>1</v>
      </c>
      <c r="V336" s="24">
        <f>ROUND(INDEX($C$2:$C$5,MATCH($E336,$B$2:$B$5,0))*$K336/SUMIFS($K:$K,$E:$E,$E336,$B:$B,$B336,U:U,1)*IF(B336=$B$10,0.9,1),0)</f>
        <v>900</v>
      </c>
      <c r="W336" s="24">
        <f t="shared" ref="W336:AA336" si="1407">IF($L336&lt;=W$8,1,0)</f>
        <v>1</v>
      </c>
      <c r="X336" s="24">
        <f>ROUND(INDEX($C$2:$C$5,MATCH($E336,$B$2:$B$5,0))*$F336/SUMIFS($F:$F,$E:$E,$E336,$B:$B,$B336,W:W,1)*IF(B336=$B$10,0.9,1),0)</f>
        <v>750</v>
      </c>
      <c r="Y336" s="24">
        <f t="shared" si="1407"/>
        <v>1</v>
      </c>
      <c r="Z336" s="24">
        <f>ROUND(INDEX($C$2:$C$5,MATCH($E336,$B$2:$B$5,0))*$G336/SUMIFS($G:$G,$E:$E,$E336,$B:$B,$B336,Y:Y,1)*IF(B336=$B$10,0.9,1),0)</f>
        <v>750</v>
      </c>
      <c r="AA336" s="24">
        <f t="shared" si="1407"/>
        <v>1</v>
      </c>
      <c r="AB336" s="24">
        <f>ROUND(INDEX($C$2:$C$5,MATCH($E336,$B$2:$B$5,0))*$H336/SUMIFS($H:$H,$E:$E,$E336,$B:$B,$B336,AA:AA,1)*IF(B336=$B$10,0.9,1),0)</f>
        <v>750</v>
      </c>
      <c r="AC336" s="24">
        <f t="shared" ref="AC336:AG336" si="1408">IF($L336&lt;=AC$8,1,0)</f>
        <v>1</v>
      </c>
      <c r="AD336" s="24">
        <f>ROUND(INDEX($C$2:$C$5,MATCH($E336,$B$2:$B$5,0))*$F336/SUMIFS($F:$F,$E:$E,$E336,$B:$B,$B336,AC:AC,1)*IF(B336=$B$10,0.9,1),0)</f>
        <v>750</v>
      </c>
      <c r="AE336" s="24">
        <f t="shared" si="1408"/>
        <v>1</v>
      </c>
      <c r="AF336" s="24">
        <f>ROUND(INDEX($C$2:$C$5,MATCH($E336,$B$2:$B$5,0))*$G336/SUMIFS($G:$G,$E:$E,$E336,$B:$B,$B336,AE:AE,1)*IF(B336=$B$10,0.9,1),0)</f>
        <v>750</v>
      </c>
      <c r="AG336" s="24">
        <f t="shared" si="1408"/>
        <v>1</v>
      </c>
      <c r="AH336" s="24">
        <f>ROUND(INDEX($C$2:$C$5,MATCH($E336,$B$2:$B$5,0))*$H336/SUMIFS($H:$H,$E:$E,$E336,$B:$B,$B336,AG:AG,1)*IF(B336=$B$10,0.9,1),0)</f>
        <v>750</v>
      </c>
      <c r="AI336" s="24">
        <f t="shared" ref="AI336:AM336" si="1409">IF($L336&lt;=AI$8,1,0)</f>
        <v>1</v>
      </c>
      <c r="AJ336" s="24">
        <f>ROUND(INDEX($C$2:$C$5,MATCH($E336,$B$2:$B$5,0))*$F336/SUMIFS($F:$F,$E:$E,$E336,$B:$B,$B336,AI:AI,1)*IF(B336=$B$10,0.9,1),0)</f>
        <v>750</v>
      </c>
      <c r="AK336" s="24">
        <f t="shared" si="1409"/>
        <v>1</v>
      </c>
      <c r="AL336" s="24">
        <f>ROUND(INDEX($C$2:$C$5,MATCH($E336,$B$2:$B$5,0))*$G336/SUMIFS($G:$G,$E:$E,$E336,$B:$B,$B336,AK:AK,1)*IF(B336=$B$10,0.9,1),0)</f>
        <v>750</v>
      </c>
      <c r="AM336" s="24">
        <f t="shared" si="1409"/>
        <v>1</v>
      </c>
      <c r="AN336" s="24">
        <f>ROUND(INDEX($C$2:$C$5,MATCH($E336,$B$2:$B$5,0))*$H336/SUMIFS($H:$H,$E:$E,$E336,$B:$B,$B336,AM:AM,1)*IF(B336=$B$10,0.9,1),0)</f>
        <v>750</v>
      </c>
      <c r="AX336" s="4" t="str">
        <f t="shared" si="1372"/>
        <v>1,750</v>
      </c>
      <c r="AY336" s="4" t="str">
        <f t="shared" si="1373"/>
        <v>1,900</v>
      </c>
      <c r="AZ336" s="4" t="str">
        <f t="shared" si="1374"/>
        <v>1,900</v>
      </c>
      <c r="BA336" s="4" t="str">
        <f t="shared" si="1375"/>
        <v>1,900</v>
      </c>
      <c r="BB336" s="4" t="str">
        <f t="shared" si="1376"/>
        <v>1,750</v>
      </c>
      <c r="BC336" s="4" t="str">
        <f t="shared" si="1377"/>
        <v>1,750</v>
      </c>
      <c r="BD336" s="4" t="str">
        <f t="shared" si="1378"/>
        <v>1,750</v>
      </c>
      <c r="BE336" s="4" t="str">
        <f t="shared" si="1379"/>
        <v>1,750</v>
      </c>
      <c r="BF336" s="4" t="str">
        <f t="shared" si="1380"/>
        <v>1,750</v>
      </c>
      <c r="BG336" s="4" t="str">
        <f t="shared" si="1381"/>
        <v>1,750</v>
      </c>
      <c r="BH336" s="4" t="str">
        <f t="shared" si="1382"/>
        <v>1,750</v>
      </c>
      <c r="BI336" s="4" t="str">
        <f t="shared" si="1383"/>
        <v>1,750</v>
      </c>
      <c r="BJ336" s="4" t="str">
        <f t="shared" si="1384"/>
        <v>1,750</v>
      </c>
    </row>
    <row r="337" customHeight="1" spans="1:62">
      <c r="A337" s="62">
        <f t="shared" si="1179"/>
        <v>2012</v>
      </c>
      <c r="B337" s="74" t="s">
        <v>144</v>
      </c>
      <c r="C337" s="64"/>
      <c r="D337" s="44" t="s">
        <v>363</v>
      </c>
      <c r="E337" s="65">
        <v>2</v>
      </c>
      <c r="F337" s="35">
        <v>1</v>
      </c>
      <c r="G337" s="35">
        <f t="shared" si="1385"/>
        <v>1</v>
      </c>
      <c r="H337" s="35">
        <v>1</v>
      </c>
      <c r="I337" s="35">
        <v>1</v>
      </c>
      <c r="J337" s="35">
        <v>1</v>
      </c>
      <c r="K337" s="35">
        <v>1</v>
      </c>
      <c r="L337" s="35">
        <v>1</v>
      </c>
      <c r="M337" s="35" t="s">
        <v>136</v>
      </c>
      <c r="N337">
        <f>INDEX($C$2:$C$5,MATCH(E337,$B$2:$B$5,0))</f>
        <v>4500</v>
      </c>
      <c r="O337" s="35">
        <v>1</v>
      </c>
      <c r="P337" s="24">
        <f>ROUND(INDEX($C$2:$C$5,MATCH($E337,$B$2:$B$5,0))*$F337/SUMIFS($F:$F,$E:$E,$E337,$B:$B,$B337,O:O,1)*IF(B337=$B$10,0.9,1),0)</f>
        <v>750</v>
      </c>
      <c r="Q337" s="24">
        <f t="shared" ref="Q337:U337" si="1410">IF($L337&lt;=Q$8,1,0)</f>
        <v>1</v>
      </c>
      <c r="R337" s="24">
        <f>ROUND(INDEX($C$2:$C$5,MATCH($E337,$B$2:$B$5,0))*$I337/SUMIFS($I:$I,$E:$E,$E337,$B:$B,$B337,Q:Q,1)*IF(B337=$B$10,0.9,1),0)</f>
        <v>900</v>
      </c>
      <c r="S337" s="24">
        <f t="shared" si="1410"/>
        <v>1</v>
      </c>
      <c r="T337" s="24">
        <f>ROUND(INDEX($C$2:$C$5,MATCH($E337,$B$2:$B$5,0))*$J337/SUMIFS($J:$J,$E:$E,$E337,$B:$B,$B337,S:S,1)*IF(B337=$B$10,0.9,1),0)</f>
        <v>900</v>
      </c>
      <c r="U337" s="24">
        <f t="shared" si="1410"/>
        <v>1</v>
      </c>
      <c r="V337" s="24">
        <f>ROUND(INDEX($C$2:$C$5,MATCH($E337,$B$2:$B$5,0))*$K337/SUMIFS($K:$K,$E:$E,$E337,$B:$B,$B337,U:U,1)*IF(B337=$B$10,0.9,1),0)</f>
        <v>900</v>
      </c>
      <c r="W337" s="24">
        <f t="shared" ref="W337:AA337" si="1411">IF($L337&lt;=W$8,1,0)</f>
        <v>1</v>
      </c>
      <c r="X337" s="24">
        <f>ROUND(INDEX($C$2:$C$5,MATCH($E337,$B$2:$B$5,0))*$F337/SUMIFS($F:$F,$E:$E,$E337,$B:$B,$B337,W:W,1)*IF(B337=$B$10,0.9,1),0)</f>
        <v>750</v>
      </c>
      <c r="Y337" s="24">
        <f t="shared" si="1411"/>
        <v>1</v>
      </c>
      <c r="Z337" s="24">
        <f>ROUND(INDEX($C$2:$C$5,MATCH($E337,$B$2:$B$5,0))*$G337/SUMIFS($G:$G,$E:$E,$E337,$B:$B,$B337,Y:Y,1)*IF(B337=$B$10,0.9,1),0)</f>
        <v>750</v>
      </c>
      <c r="AA337" s="24">
        <f t="shared" si="1411"/>
        <v>1</v>
      </c>
      <c r="AB337" s="24">
        <f>ROUND(INDEX($C$2:$C$5,MATCH($E337,$B$2:$B$5,0))*$H337/SUMIFS($H:$H,$E:$E,$E337,$B:$B,$B337,AA:AA,1)*IF(B337=$B$10,0.9,1),0)</f>
        <v>750</v>
      </c>
      <c r="AC337" s="24">
        <f t="shared" ref="AC337:AG337" si="1412">IF($L337&lt;=AC$8,1,0)</f>
        <v>1</v>
      </c>
      <c r="AD337" s="24">
        <f>ROUND(INDEX($C$2:$C$5,MATCH($E337,$B$2:$B$5,0))*$F337/SUMIFS($F:$F,$E:$E,$E337,$B:$B,$B337,AC:AC,1)*IF(B337=$B$10,0.9,1),0)</f>
        <v>750</v>
      </c>
      <c r="AE337" s="24">
        <f t="shared" si="1412"/>
        <v>1</v>
      </c>
      <c r="AF337" s="24">
        <f>ROUND(INDEX($C$2:$C$5,MATCH($E337,$B$2:$B$5,0))*$G337/SUMIFS($G:$G,$E:$E,$E337,$B:$B,$B337,AE:AE,1)*IF(B337=$B$10,0.9,1),0)</f>
        <v>750</v>
      </c>
      <c r="AG337" s="24">
        <f t="shared" si="1412"/>
        <v>1</v>
      </c>
      <c r="AH337" s="24">
        <f>ROUND(INDEX($C$2:$C$5,MATCH($E337,$B$2:$B$5,0))*$H337/SUMIFS($H:$H,$E:$E,$E337,$B:$B,$B337,AG:AG,1)*IF(B337=$B$10,0.9,1),0)</f>
        <v>750</v>
      </c>
      <c r="AI337" s="24">
        <f t="shared" ref="AI337:AM337" si="1413">IF($L337&lt;=AI$8,1,0)</f>
        <v>1</v>
      </c>
      <c r="AJ337" s="24">
        <f>ROUND(INDEX($C$2:$C$5,MATCH($E337,$B$2:$B$5,0))*$F337/SUMIFS($F:$F,$E:$E,$E337,$B:$B,$B337,AI:AI,1)*IF(B337=$B$10,0.9,1),0)</f>
        <v>750</v>
      </c>
      <c r="AK337" s="24">
        <f t="shared" si="1413"/>
        <v>1</v>
      </c>
      <c r="AL337" s="24">
        <f>ROUND(INDEX($C$2:$C$5,MATCH($E337,$B$2:$B$5,0))*$G337/SUMIFS($G:$G,$E:$E,$E337,$B:$B,$B337,AK:AK,1)*IF(B337=$B$10,0.9,1),0)</f>
        <v>750</v>
      </c>
      <c r="AM337" s="24">
        <f t="shared" si="1413"/>
        <v>1</v>
      </c>
      <c r="AN337" s="24">
        <f>ROUND(INDEX($C$2:$C$5,MATCH($E337,$B$2:$B$5,0))*$H337/SUMIFS($H:$H,$E:$E,$E337,$B:$B,$B337,AM:AM,1)*IF(B337=$B$10,0.9,1),0)</f>
        <v>750</v>
      </c>
      <c r="AX337" s="4" t="str">
        <f t="shared" si="1372"/>
        <v>1,750</v>
      </c>
      <c r="AY337" s="4" t="str">
        <f t="shared" si="1373"/>
        <v>1,900</v>
      </c>
      <c r="AZ337" s="4" t="str">
        <f t="shared" si="1374"/>
        <v>1,900</v>
      </c>
      <c r="BA337" s="4" t="str">
        <f t="shared" si="1375"/>
        <v>1,900</v>
      </c>
      <c r="BB337" s="4" t="str">
        <f t="shared" si="1376"/>
        <v>1,750</v>
      </c>
      <c r="BC337" s="4" t="str">
        <f t="shared" si="1377"/>
        <v>1,750</v>
      </c>
      <c r="BD337" s="4" t="str">
        <f t="shared" si="1378"/>
        <v>1,750</v>
      </c>
      <c r="BE337" s="4" t="str">
        <f t="shared" si="1379"/>
        <v>1,750</v>
      </c>
      <c r="BF337" s="4" t="str">
        <f t="shared" si="1380"/>
        <v>1,750</v>
      </c>
      <c r="BG337" s="4" t="str">
        <f t="shared" si="1381"/>
        <v>1,750</v>
      </c>
      <c r="BH337" s="4" t="str">
        <f t="shared" si="1382"/>
        <v>1,750</v>
      </c>
      <c r="BI337" s="4" t="str">
        <f t="shared" si="1383"/>
        <v>1,750</v>
      </c>
      <c r="BJ337" s="4" t="str">
        <f t="shared" si="1384"/>
        <v>1,750</v>
      </c>
    </row>
    <row r="338" customHeight="1" spans="1:62">
      <c r="A338" s="62">
        <f t="shared" si="1179"/>
        <v>2013</v>
      </c>
      <c r="B338" s="74" t="s">
        <v>144</v>
      </c>
      <c r="C338" s="64"/>
      <c r="D338" s="44" t="s">
        <v>364</v>
      </c>
      <c r="E338" s="66">
        <v>2</v>
      </c>
      <c r="F338" s="35">
        <v>1</v>
      </c>
      <c r="G338" s="35">
        <f t="shared" si="1385"/>
        <v>1</v>
      </c>
      <c r="H338" s="35">
        <v>1</v>
      </c>
      <c r="I338" s="35">
        <v>1</v>
      </c>
      <c r="J338" s="35">
        <v>1</v>
      </c>
      <c r="K338" s="35">
        <v>1</v>
      </c>
      <c r="L338" s="35">
        <v>1</v>
      </c>
      <c r="M338" s="35"/>
      <c r="N338">
        <f>INDEX($C$2:$C$5,MATCH(E338,$B$2:$B$5,0))</f>
        <v>4500</v>
      </c>
      <c r="O338" s="35">
        <v>1</v>
      </c>
      <c r="P338" s="24">
        <f>ROUND(INDEX($C$2:$C$5,MATCH($E338,$B$2:$B$5,0))*$F338/SUMIFS($F:$F,$E:$E,$E338,$B:$B,$B338,O:O,1)*IF(B338=$B$10,0.9,1),0)</f>
        <v>750</v>
      </c>
      <c r="Q338" s="24">
        <f t="shared" ref="Q338:U338" si="1414">IF($L338&lt;=Q$8,1,0)</f>
        <v>1</v>
      </c>
      <c r="R338" s="24">
        <f>ROUND(INDEX($C$2:$C$5,MATCH($E338,$B$2:$B$5,0))*$I338/SUMIFS($I:$I,$E:$E,$E338,$B:$B,$B338,Q:Q,1)*IF(B338=$B$10,0.9,1),0)</f>
        <v>900</v>
      </c>
      <c r="S338" s="24">
        <f t="shared" si="1414"/>
        <v>1</v>
      </c>
      <c r="T338" s="24">
        <f>ROUND(INDEX($C$2:$C$5,MATCH($E338,$B$2:$B$5,0))*$J338/SUMIFS($J:$J,$E:$E,$E338,$B:$B,$B338,S:S,1)*IF(B338=$B$10,0.9,1),0)</f>
        <v>900</v>
      </c>
      <c r="U338" s="24">
        <f t="shared" si="1414"/>
        <v>1</v>
      </c>
      <c r="V338" s="24">
        <f>ROUND(INDEX($C$2:$C$5,MATCH($E338,$B$2:$B$5,0))*$K338/SUMIFS($K:$K,$E:$E,$E338,$B:$B,$B338,U:U,1)*IF(B338=$B$10,0.9,1),0)</f>
        <v>900</v>
      </c>
      <c r="W338" s="24">
        <f t="shared" ref="W338:AA338" si="1415">IF($L338&lt;=W$8,1,0)</f>
        <v>1</v>
      </c>
      <c r="X338" s="24">
        <f>ROUND(INDEX($C$2:$C$5,MATCH($E338,$B$2:$B$5,0))*$F338/SUMIFS($F:$F,$E:$E,$E338,$B:$B,$B338,W:W,1)*IF(B338=$B$10,0.9,1),0)</f>
        <v>750</v>
      </c>
      <c r="Y338" s="24">
        <f t="shared" si="1415"/>
        <v>1</v>
      </c>
      <c r="Z338" s="24">
        <f>ROUND(INDEX($C$2:$C$5,MATCH($E338,$B$2:$B$5,0))*$G338/SUMIFS($G:$G,$E:$E,$E338,$B:$B,$B338,Y:Y,1)*IF(B338=$B$10,0.9,1),0)</f>
        <v>750</v>
      </c>
      <c r="AA338" s="24">
        <f t="shared" si="1415"/>
        <v>1</v>
      </c>
      <c r="AB338" s="24">
        <f>ROUND(INDEX($C$2:$C$5,MATCH($E338,$B$2:$B$5,0))*$H338/SUMIFS($H:$H,$E:$E,$E338,$B:$B,$B338,AA:AA,1)*IF(B338=$B$10,0.9,1),0)</f>
        <v>750</v>
      </c>
      <c r="AC338" s="24">
        <f t="shared" ref="AC338:AG338" si="1416">IF($L338&lt;=AC$8,1,0)</f>
        <v>1</v>
      </c>
      <c r="AD338" s="24">
        <f>ROUND(INDEX($C$2:$C$5,MATCH($E338,$B$2:$B$5,0))*$F338/SUMIFS($F:$F,$E:$E,$E338,$B:$B,$B338,AC:AC,1)*IF(B338=$B$10,0.9,1),0)</f>
        <v>750</v>
      </c>
      <c r="AE338" s="24">
        <f t="shared" si="1416"/>
        <v>1</v>
      </c>
      <c r="AF338" s="24">
        <f>ROUND(INDEX($C$2:$C$5,MATCH($E338,$B$2:$B$5,0))*$G338/SUMIFS($G:$G,$E:$E,$E338,$B:$B,$B338,AE:AE,1)*IF(B338=$B$10,0.9,1),0)</f>
        <v>750</v>
      </c>
      <c r="AG338" s="24">
        <f t="shared" si="1416"/>
        <v>1</v>
      </c>
      <c r="AH338" s="24">
        <f>ROUND(INDEX($C$2:$C$5,MATCH($E338,$B$2:$B$5,0))*$H338/SUMIFS($H:$H,$E:$E,$E338,$B:$B,$B338,AG:AG,1)*IF(B338=$B$10,0.9,1),0)</f>
        <v>750</v>
      </c>
      <c r="AI338" s="24">
        <f t="shared" ref="AI338:AM338" si="1417">IF($L338&lt;=AI$8,1,0)</f>
        <v>1</v>
      </c>
      <c r="AJ338" s="24">
        <f>ROUND(INDEX($C$2:$C$5,MATCH($E338,$B$2:$B$5,0))*$F338/SUMIFS($F:$F,$E:$E,$E338,$B:$B,$B338,AI:AI,1)*IF(B338=$B$10,0.9,1),0)</f>
        <v>750</v>
      </c>
      <c r="AK338" s="24">
        <f t="shared" si="1417"/>
        <v>1</v>
      </c>
      <c r="AL338" s="24">
        <f>ROUND(INDEX($C$2:$C$5,MATCH($E338,$B$2:$B$5,0))*$G338/SUMIFS($G:$G,$E:$E,$E338,$B:$B,$B338,AK:AK,1)*IF(B338=$B$10,0.9,1),0)</f>
        <v>750</v>
      </c>
      <c r="AM338" s="24">
        <f t="shared" si="1417"/>
        <v>1</v>
      </c>
      <c r="AN338" s="24">
        <f>ROUND(INDEX($C$2:$C$5,MATCH($E338,$B$2:$B$5,0))*$H338/SUMIFS($H:$H,$E:$E,$E338,$B:$B,$B338,AM:AM,1)*IF(B338=$B$10,0.9,1),0)</f>
        <v>750</v>
      </c>
      <c r="AX338" s="4" t="str">
        <f t="shared" si="1372"/>
        <v>1,750</v>
      </c>
      <c r="AY338" s="4" t="str">
        <f t="shared" si="1373"/>
        <v>1,900</v>
      </c>
      <c r="AZ338" s="4" t="str">
        <f t="shared" si="1374"/>
        <v>1,900</v>
      </c>
      <c r="BA338" s="4" t="str">
        <f t="shared" si="1375"/>
        <v>1,900</v>
      </c>
      <c r="BB338" s="4" t="str">
        <f t="shared" si="1376"/>
        <v>1,750</v>
      </c>
      <c r="BC338" s="4" t="str">
        <f t="shared" si="1377"/>
        <v>1,750</v>
      </c>
      <c r="BD338" s="4" t="str">
        <f t="shared" si="1378"/>
        <v>1,750</v>
      </c>
      <c r="BE338" s="4" t="str">
        <f t="shared" si="1379"/>
        <v>1,750</v>
      </c>
      <c r="BF338" s="4" t="str">
        <f t="shared" si="1380"/>
        <v>1,750</v>
      </c>
      <c r="BG338" s="4" t="str">
        <f t="shared" si="1381"/>
        <v>1,750</v>
      </c>
      <c r="BH338" s="4" t="str">
        <f t="shared" si="1382"/>
        <v>1,750</v>
      </c>
      <c r="BI338" s="4" t="str">
        <f t="shared" si="1383"/>
        <v>1,750</v>
      </c>
      <c r="BJ338" s="4" t="str">
        <f t="shared" si="1384"/>
        <v>1,750</v>
      </c>
    </row>
    <row r="339" customHeight="1" spans="1:62">
      <c r="A339" s="62">
        <f t="shared" si="1179"/>
        <v>2014</v>
      </c>
      <c r="B339" s="74" t="s">
        <v>144</v>
      </c>
      <c r="C339" s="64"/>
      <c r="D339" s="44" t="s">
        <v>365</v>
      </c>
      <c r="E339" s="66">
        <v>2</v>
      </c>
      <c r="F339" s="35">
        <v>1</v>
      </c>
      <c r="G339" s="35">
        <f t="shared" si="1385"/>
        <v>1</v>
      </c>
      <c r="H339" s="35">
        <v>1</v>
      </c>
      <c r="I339" s="35">
        <v>1</v>
      </c>
      <c r="J339" s="35">
        <v>1</v>
      </c>
      <c r="K339" s="35">
        <v>1</v>
      </c>
      <c r="L339" s="35">
        <v>1</v>
      </c>
      <c r="M339" s="35" t="s">
        <v>136</v>
      </c>
      <c r="N339">
        <f>INDEX($C$2:$C$5,MATCH(E339,$B$2:$B$5,0))</f>
        <v>4500</v>
      </c>
      <c r="O339" s="35">
        <v>1</v>
      </c>
      <c r="P339" s="24">
        <f>ROUND(INDEX($C$2:$C$5,MATCH($E339,$B$2:$B$5,0))*$F339/SUMIFS($F:$F,$E:$E,$E339,$B:$B,$B339,O:O,1)*IF(B339=$B$10,0.9,1),0)</f>
        <v>750</v>
      </c>
      <c r="Q339" s="24">
        <f t="shared" ref="Q339:U339" si="1418">IF($L339&lt;=Q$8,1,0)</f>
        <v>1</v>
      </c>
      <c r="R339" s="24">
        <f>ROUND(INDEX($C$2:$C$5,MATCH($E339,$B$2:$B$5,0))*$I339/SUMIFS($I:$I,$E:$E,$E339,$B:$B,$B339,Q:Q,1)*IF(B339=$B$10,0.9,1),0)</f>
        <v>900</v>
      </c>
      <c r="S339" s="24">
        <f t="shared" si="1418"/>
        <v>1</v>
      </c>
      <c r="T339" s="24">
        <f>ROUND(INDEX($C$2:$C$5,MATCH($E339,$B$2:$B$5,0))*$J339/SUMIFS($J:$J,$E:$E,$E339,$B:$B,$B339,S:S,1)*IF(B339=$B$10,0.9,1),0)</f>
        <v>900</v>
      </c>
      <c r="U339" s="24">
        <f t="shared" si="1418"/>
        <v>1</v>
      </c>
      <c r="V339" s="24">
        <f>ROUND(INDEX($C$2:$C$5,MATCH($E339,$B$2:$B$5,0))*$K339/SUMIFS($K:$K,$E:$E,$E339,$B:$B,$B339,U:U,1)*IF(B339=$B$10,0.9,1),0)</f>
        <v>900</v>
      </c>
      <c r="W339" s="24">
        <f t="shared" ref="W339:AA339" si="1419">IF($L339&lt;=W$8,1,0)</f>
        <v>1</v>
      </c>
      <c r="X339" s="24">
        <f>ROUND(INDEX($C$2:$C$5,MATCH($E339,$B$2:$B$5,0))*$F339/SUMIFS($F:$F,$E:$E,$E339,$B:$B,$B339,W:W,1)*IF(B339=$B$10,0.9,1),0)</f>
        <v>750</v>
      </c>
      <c r="Y339" s="24">
        <f t="shared" si="1419"/>
        <v>1</v>
      </c>
      <c r="Z339" s="24">
        <f>ROUND(INDEX($C$2:$C$5,MATCH($E339,$B$2:$B$5,0))*$G339/SUMIFS($G:$G,$E:$E,$E339,$B:$B,$B339,Y:Y,1)*IF(B339=$B$10,0.9,1),0)</f>
        <v>750</v>
      </c>
      <c r="AA339" s="24">
        <f t="shared" si="1419"/>
        <v>1</v>
      </c>
      <c r="AB339" s="24">
        <f>ROUND(INDEX($C$2:$C$5,MATCH($E339,$B$2:$B$5,0))*$H339/SUMIFS($H:$H,$E:$E,$E339,$B:$B,$B339,AA:AA,1)*IF(B339=$B$10,0.9,1),0)</f>
        <v>750</v>
      </c>
      <c r="AC339" s="24">
        <f t="shared" ref="AC339:AG339" si="1420">IF($L339&lt;=AC$8,1,0)</f>
        <v>1</v>
      </c>
      <c r="AD339" s="24">
        <f>ROUND(INDEX($C$2:$C$5,MATCH($E339,$B$2:$B$5,0))*$F339/SUMIFS($F:$F,$E:$E,$E339,$B:$B,$B339,AC:AC,1)*IF(B339=$B$10,0.9,1),0)</f>
        <v>750</v>
      </c>
      <c r="AE339" s="24">
        <f t="shared" si="1420"/>
        <v>1</v>
      </c>
      <c r="AF339" s="24">
        <f>ROUND(INDEX($C$2:$C$5,MATCH($E339,$B$2:$B$5,0))*$G339/SUMIFS($G:$G,$E:$E,$E339,$B:$B,$B339,AE:AE,1)*IF(B339=$B$10,0.9,1),0)</f>
        <v>750</v>
      </c>
      <c r="AG339" s="24">
        <f t="shared" si="1420"/>
        <v>1</v>
      </c>
      <c r="AH339" s="24">
        <f>ROUND(INDEX($C$2:$C$5,MATCH($E339,$B$2:$B$5,0))*$H339/SUMIFS($H:$H,$E:$E,$E339,$B:$B,$B339,AG:AG,1)*IF(B339=$B$10,0.9,1),0)</f>
        <v>750</v>
      </c>
      <c r="AI339" s="24">
        <f t="shared" ref="AI339:AM339" si="1421">IF($L339&lt;=AI$8,1,0)</f>
        <v>1</v>
      </c>
      <c r="AJ339" s="24">
        <f>ROUND(INDEX($C$2:$C$5,MATCH($E339,$B$2:$B$5,0))*$F339/SUMIFS($F:$F,$E:$E,$E339,$B:$B,$B339,AI:AI,1)*IF(B339=$B$10,0.9,1),0)</f>
        <v>750</v>
      </c>
      <c r="AK339" s="24">
        <f t="shared" si="1421"/>
        <v>1</v>
      </c>
      <c r="AL339" s="24">
        <f>ROUND(INDEX($C$2:$C$5,MATCH($E339,$B$2:$B$5,0))*$G339/SUMIFS($G:$G,$E:$E,$E339,$B:$B,$B339,AK:AK,1)*IF(B339=$B$10,0.9,1),0)</f>
        <v>750</v>
      </c>
      <c r="AM339" s="24">
        <f t="shared" si="1421"/>
        <v>1</v>
      </c>
      <c r="AN339" s="24">
        <f>ROUND(INDEX($C$2:$C$5,MATCH($E339,$B$2:$B$5,0))*$H339/SUMIFS($H:$H,$E:$E,$E339,$B:$B,$B339,AM:AM,1)*IF(B339=$B$10,0.9,1),0)</f>
        <v>750</v>
      </c>
      <c r="AX339" s="4" t="str">
        <f t="shared" si="1372"/>
        <v>1,750</v>
      </c>
      <c r="AY339" s="4" t="str">
        <f t="shared" si="1373"/>
        <v>1,900</v>
      </c>
      <c r="AZ339" s="4" t="str">
        <f t="shared" si="1374"/>
        <v>1,900</v>
      </c>
      <c r="BA339" s="4" t="str">
        <f t="shared" si="1375"/>
        <v>1,900</v>
      </c>
      <c r="BB339" s="4" t="str">
        <f t="shared" si="1376"/>
        <v>1,750</v>
      </c>
      <c r="BC339" s="4" t="str">
        <f t="shared" si="1377"/>
        <v>1,750</v>
      </c>
      <c r="BD339" s="4" t="str">
        <f t="shared" si="1378"/>
        <v>1,750</v>
      </c>
      <c r="BE339" s="4" t="str">
        <f t="shared" si="1379"/>
        <v>1,750</v>
      </c>
      <c r="BF339" s="4" t="str">
        <f t="shared" si="1380"/>
        <v>1,750</v>
      </c>
      <c r="BG339" s="4" t="str">
        <f t="shared" si="1381"/>
        <v>1,750</v>
      </c>
      <c r="BH339" s="4" t="str">
        <f t="shared" si="1382"/>
        <v>1,750</v>
      </c>
      <c r="BI339" s="4" t="str">
        <f t="shared" si="1383"/>
        <v>1,750</v>
      </c>
      <c r="BJ339" s="4" t="str">
        <f t="shared" si="1384"/>
        <v>1,750</v>
      </c>
    </row>
    <row r="340" customHeight="1" spans="1:62">
      <c r="A340" s="62">
        <f t="shared" si="1179"/>
        <v>2021</v>
      </c>
      <c r="B340" s="74" t="s">
        <v>144</v>
      </c>
      <c r="C340" s="64" t="s">
        <v>218</v>
      </c>
      <c r="D340" s="46" t="s">
        <v>366</v>
      </c>
      <c r="E340" s="66">
        <v>3</v>
      </c>
      <c r="F340" s="35">
        <v>1</v>
      </c>
      <c r="G340" s="35">
        <f t="shared" si="1385"/>
        <v>1</v>
      </c>
      <c r="H340" s="35">
        <v>1</v>
      </c>
      <c r="I340" s="35">
        <v>1</v>
      </c>
      <c r="J340" s="35">
        <v>1</v>
      </c>
      <c r="K340" s="35">
        <v>1</v>
      </c>
      <c r="L340" s="35">
        <v>1</v>
      </c>
      <c r="M340" s="35" t="s">
        <v>136</v>
      </c>
      <c r="N340">
        <f>INDEX($C$2:$C$5,MATCH(E340,$B$2:$B$5,0))</f>
        <v>1500</v>
      </c>
      <c r="O340" s="35">
        <v>1</v>
      </c>
      <c r="P340" s="24">
        <f>ROUND(INDEX($C$2:$C$5,MATCH($E340,$B$2:$B$5,0))*$F340/SUMIFS($F:$F,$E:$E,$E340,$B:$B,$B340,O:O,1)*IF(B340=$B$10,0.9,1),0)</f>
        <v>250</v>
      </c>
      <c r="Q340" s="24">
        <f t="shared" ref="Q340:U340" si="1422">IF($L340&lt;=Q$8,1,0)</f>
        <v>1</v>
      </c>
      <c r="R340" s="24">
        <f>ROUND(INDEX($C$2:$C$5,MATCH($E340,$B$2:$B$5,0))*$I340/SUMIFS($I:$I,$E:$E,$E340,$B:$B,$B340,Q:Q,1)*IF(B340=$B$10,0.9,1),0)</f>
        <v>300</v>
      </c>
      <c r="S340" s="24">
        <f t="shared" si="1422"/>
        <v>1</v>
      </c>
      <c r="T340" s="24">
        <f>ROUND(INDEX($C$2:$C$5,MATCH($E340,$B$2:$B$5,0))*$J340/SUMIFS($J:$J,$E:$E,$E340,$B:$B,$B340,S:S,1)*IF(B340=$B$10,0.9,1),0)</f>
        <v>300</v>
      </c>
      <c r="U340" s="24">
        <f t="shared" si="1422"/>
        <v>1</v>
      </c>
      <c r="V340" s="24">
        <f>ROUND(INDEX($C$2:$C$5,MATCH($E340,$B$2:$B$5,0))*$K340/SUMIFS($K:$K,$E:$E,$E340,$B:$B,$B340,U:U,1)*IF(B340=$B$10,0.9,1),0)</f>
        <v>300</v>
      </c>
      <c r="W340" s="24">
        <f t="shared" ref="W340:AA340" si="1423">IF($L340&lt;=W$8,1,0)</f>
        <v>1</v>
      </c>
      <c r="X340" s="24">
        <f>ROUND(INDEX($C$2:$C$5,MATCH($E340,$B$2:$B$5,0))*$F340/SUMIFS($F:$F,$E:$E,$E340,$B:$B,$B340,W:W,1)*IF(B340=$B$10,0.9,1),0)</f>
        <v>250</v>
      </c>
      <c r="Y340" s="24">
        <f t="shared" si="1423"/>
        <v>1</v>
      </c>
      <c r="Z340" s="24">
        <f>ROUND(INDEX($C$2:$C$5,MATCH($E340,$B$2:$B$5,0))*$G340/SUMIFS($G:$G,$E:$E,$E340,$B:$B,$B340,Y:Y,1)*IF(B340=$B$10,0.9,1),0)</f>
        <v>250</v>
      </c>
      <c r="AA340" s="24">
        <f t="shared" si="1423"/>
        <v>1</v>
      </c>
      <c r="AB340" s="24">
        <f>ROUND(INDEX($C$2:$C$5,MATCH($E340,$B$2:$B$5,0))*$H340/SUMIFS($H:$H,$E:$E,$E340,$B:$B,$B340,AA:AA,1)*IF(B340=$B$10,0.9,1),0)</f>
        <v>250</v>
      </c>
      <c r="AC340" s="24">
        <f t="shared" ref="AC340:AG340" si="1424">IF($L340&lt;=AC$8,1,0)</f>
        <v>1</v>
      </c>
      <c r="AD340" s="24">
        <f>ROUND(INDEX($C$2:$C$5,MATCH($E340,$B$2:$B$5,0))*$F340/SUMIFS($F:$F,$E:$E,$E340,$B:$B,$B340,AC:AC,1)*IF(B340=$B$10,0.9,1),0)</f>
        <v>250</v>
      </c>
      <c r="AE340" s="24">
        <f t="shared" si="1424"/>
        <v>1</v>
      </c>
      <c r="AF340" s="24">
        <f>ROUND(INDEX($C$2:$C$5,MATCH($E340,$B$2:$B$5,0))*$G340/SUMIFS($G:$G,$E:$E,$E340,$B:$B,$B340,AE:AE,1)*IF(B340=$B$10,0.9,1),0)</f>
        <v>250</v>
      </c>
      <c r="AG340" s="24">
        <f t="shared" si="1424"/>
        <v>1</v>
      </c>
      <c r="AH340" s="24">
        <f>ROUND(INDEX($C$2:$C$5,MATCH($E340,$B$2:$B$5,0))*$H340/SUMIFS($H:$H,$E:$E,$E340,$B:$B,$B340,AG:AG,1)*IF(B340=$B$10,0.9,1),0)</f>
        <v>250</v>
      </c>
      <c r="AI340" s="24">
        <f t="shared" ref="AI340:AM340" si="1425">IF($L340&lt;=AI$8,1,0)</f>
        <v>1</v>
      </c>
      <c r="AJ340" s="24">
        <f>ROUND(INDEX($C$2:$C$5,MATCH($E340,$B$2:$B$5,0))*$F340/SUMIFS($F:$F,$E:$E,$E340,$B:$B,$B340,AI:AI,1)*IF(B340=$B$10,0.9,1),0)</f>
        <v>250</v>
      </c>
      <c r="AK340" s="24">
        <f t="shared" si="1425"/>
        <v>1</v>
      </c>
      <c r="AL340" s="24">
        <f>ROUND(INDEX($C$2:$C$5,MATCH($E340,$B$2:$B$5,0))*$G340/SUMIFS($G:$G,$E:$E,$E340,$B:$B,$B340,AK:AK,1)*IF(B340=$B$10,0.9,1),0)</f>
        <v>250</v>
      </c>
      <c r="AM340" s="24">
        <f t="shared" si="1425"/>
        <v>1</v>
      </c>
      <c r="AN340" s="24">
        <f>ROUND(INDEX($C$2:$C$5,MATCH($E340,$B$2:$B$5,0))*$H340/SUMIFS($H:$H,$E:$E,$E340,$B:$B,$B340,AM:AM,1)*IF(B340=$B$10,0.9,1),0)</f>
        <v>250</v>
      </c>
      <c r="AX340" s="4" t="str">
        <f t="shared" si="1372"/>
        <v>1,250</v>
      </c>
      <c r="AY340" s="4" t="str">
        <f t="shared" si="1373"/>
        <v>1,300</v>
      </c>
      <c r="AZ340" s="4" t="str">
        <f t="shared" si="1374"/>
        <v>1,300</v>
      </c>
      <c r="BA340" s="4" t="str">
        <f t="shared" si="1375"/>
        <v>1,300</v>
      </c>
      <c r="BB340" s="4" t="str">
        <f t="shared" si="1376"/>
        <v>1,250</v>
      </c>
      <c r="BC340" s="4" t="str">
        <f t="shared" si="1377"/>
        <v>1,250</v>
      </c>
      <c r="BD340" s="4" t="str">
        <f t="shared" si="1378"/>
        <v>1,250</v>
      </c>
      <c r="BE340" s="4" t="str">
        <f t="shared" si="1379"/>
        <v>1,250</v>
      </c>
      <c r="BF340" s="4" t="str">
        <f t="shared" si="1380"/>
        <v>1,250</v>
      </c>
      <c r="BG340" s="4" t="str">
        <f t="shared" si="1381"/>
        <v>1,250</v>
      </c>
      <c r="BH340" s="4" t="str">
        <f t="shared" si="1382"/>
        <v>1,250</v>
      </c>
      <c r="BI340" s="4" t="str">
        <f t="shared" si="1383"/>
        <v>1,250</v>
      </c>
      <c r="BJ340" s="4" t="str">
        <f t="shared" si="1384"/>
        <v>1,250</v>
      </c>
    </row>
    <row r="341" customHeight="1" spans="1:62">
      <c r="A341" s="62">
        <f t="shared" si="1179"/>
        <v>2022</v>
      </c>
      <c r="B341" s="74" t="s">
        <v>144</v>
      </c>
      <c r="C341" s="64" t="s">
        <v>218</v>
      </c>
      <c r="D341" s="46" t="s">
        <v>367</v>
      </c>
      <c r="E341" s="66">
        <v>3</v>
      </c>
      <c r="F341" s="35">
        <v>1</v>
      </c>
      <c r="G341" s="35">
        <f t="shared" si="1385"/>
        <v>1</v>
      </c>
      <c r="H341" s="35">
        <v>1</v>
      </c>
      <c r="I341" s="35">
        <v>1</v>
      </c>
      <c r="J341" s="35">
        <v>1</v>
      </c>
      <c r="K341" s="35">
        <v>1</v>
      </c>
      <c r="L341" s="35">
        <v>1</v>
      </c>
      <c r="M341" s="35"/>
      <c r="N341">
        <f>INDEX($C$2:$C$5,MATCH(E341,$B$2:$B$5,0))</f>
        <v>1500</v>
      </c>
      <c r="O341" s="35">
        <v>1</v>
      </c>
      <c r="P341" s="24">
        <f>ROUND(INDEX($C$2:$C$5,MATCH($E341,$B$2:$B$5,0))*$F341/SUMIFS($F:$F,$E:$E,$E341,$B:$B,$B341,O:O,1)*IF(B341=$B$10,0.9,1),0)</f>
        <v>250</v>
      </c>
      <c r="Q341" s="24">
        <f t="shared" ref="Q341:U341" si="1426">IF($L341&lt;=Q$8,1,0)</f>
        <v>1</v>
      </c>
      <c r="R341" s="24">
        <f>ROUND(INDEX($C$2:$C$5,MATCH($E341,$B$2:$B$5,0))*$I341/SUMIFS($I:$I,$E:$E,$E341,$B:$B,$B341,Q:Q,1)*IF(B341=$B$10,0.9,1),0)</f>
        <v>300</v>
      </c>
      <c r="S341" s="24">
        <f t="shared" si="1426"/>
        <v>1</v>
      </c>
      <c r="T341" s="24">
        <f>ROUND(INDEX($C$2:$C$5,MATCH($E341,$B$2:$B$5,0))*$J341/SUMIFS($J:$J,$E:$E,$E341,$B:$B,$B341,S:S,1)*IF(B341=$B$10,0.9,1),0)</f>
        <v>300</v>
      </c>
      <c r="U341" s="24">
        <f t="shared" si="1426"/>
        <v>1</v>
      </c>
      <c r="V341" s="24">
        <f>ROUND(INDEX($C$2:$C$5,MATCH($E341,$B$2:$B$5,0))*$K341/SUMIFS($K:$K,$E:$E,$E341,$B:$B,$B341,U:U,1)*IF(B341=$B$10,0.9,1),0)</f>
        <v>300</v>
      </c>
      <c r="W341" s="24">
        <f t="shared" ref="W341:AA341" si="1427">IF($L341&lt;=W$8,1,0)</f>
        <v>1</v>
      </c>
      <c r="X341" s="24">
        <f>ROUND(INDEX($C$2:$C$5,MATCH($E341,$B$2:$B$5,0))*$F341/SUMIFS($F:$F,$E:$E,$E341,$B:$B,$B341,W:W,1)*IF(B341=$B$10,0.9,1),0)</f>
        <v>250</v>
      </c>
      <c r="Y341" s="24">
        <f t="shared" si="1427"/>
        <v>1</v>
      </c>
      <c r="Z341" s="24">
        <f>ROUND(INDEX($C$2:$C$5,MATCH($E341,$B$2:$B$5,0))*$G341/SUMIFS($G:$G,$E:$E,$E341,$B:$B,$B341,Y:Y,1)*IF(B341=$B$10,0.9,1),0)</f>
        <v>250</v>
      </c>
      <c r="AA341" s="24">
        <f t="shared" si="1427"/>
        <v>1</v>
      </c>
      <c r="AB341" s="24">
        <f>ROUND(INDEX($C$2:$C$5,MATCH($E341,$B$2:$B$5,0))*$H341/SUMIFS($H:$H,$E:$E,$E341,$B:$B,$B341,AA:AA,1)*IF(B341=$B$10,0.9,1),0)</f>
        <v>250</v>
      </c>
      <c r="AC341" s="24">
        <f t="shared" ref="AC341:AG341" si="1428">IF($L341&lt;=AC$8,1,0)</f>
        <v>1</v>
      </c>
      <c r="AD341" s="24">
        <f>ROUND(INDEX($C$2:$C$5,MATCH($E341,$B$2:$B$5,0))*$F341/SUMIFS($F:$F,$E:$E,$E341,$B:$B,$B341,AC:AC,1)*IF(B341=$B$10,0.9,1),0)</f>
        <v>250</v>
      </c>
      <c r="AE341" s="24">
        <f t="shared" si="1428"/>
        <v>1</v>
      </c>
      <c r="AF341" s="24">
        <f>ROUND(INDEX($C$2:$C$5,MATCH($E341,$B$2:$B$5,0))*$G341/SUMIFS($G:$G,$E:$E,$E341,$B:$B,$B341,AE:AE,1)*IF(B341=$B$10,0.9,1),0)</f>
        <v>250</v>
      </c>
      <c r="AG341" s="24">
        <f t="shared" si="1428"/>
        <v>1</v>
      </c>
      <c r="AH341" s="24">
        <f>ROUND(INDEX($C$2:$C$5,MATCH($E341,$B$2:$B$5,0))*$H341/SUMIFS($H:$H,$E:$E,$E341,$B:$B,$B341,AG:AG,1)*IF(B341=$B$10,0.9,1),0)</f>
        <v>250</v>
      </c>
      <c r="AI341" s="24">
        <f t="shared" ref="AI341:AM341" si="1429">IF($L341&lt;=AI$8,1,0)</f>
        <v>1</v>
      </c>
      <c r="AJ341" s="24">
        <f>ROUND(INDEX($C$2:$C$5,MATCH($E341,$B$2:$B$5,0))*$F341/SUMIFS($F:$F,$E:$E,$E341,$B:$B,$B341,AI:AI,1)*IF(B341=$B$10,0.9,1),0)</f>
        <v>250</v>
      </c>
      <c r="AK341" s="24">
        <f t="shared" si="1429"/>
        <v>1</v>
      </c>
      <c r="AL341" s="24">
        <f>ROUND(INDEX($C$2:$C$5,MATCH($E341,$B$2:$B$5,0))*$G341/SUMIFS($G:$G,$E:$E,$E341,$B:$B,$B341,AK:AK,1)*IF(B341=$B$10,0.9,1),0)</f>
        <v>250</v>
      </c>
      <c r="AM341" s="24">
        <f t="shared" si="1429"/>
        <v>1</v>
      </c>
      <c r="AN341" s="24">
        <f>ROUND(INDEX($C$2:$C$5,MATCH($E341,$B$2:$B$5,0))*$H341/SUMIFS($H:$H,$E:$E,$E341,$B:$B,$B341,AM:AM,1)*IF(B341=$B$10,0.9,1),0)</f>
        <v>250</v>
      </c>
      <c r="AX341" s="4" t="str">
        <f t="shared" si="1372"/>
        <v>1,250</v>
      </c>
      <c r="AY341" s="4" t="str">
        <f t="shared" si="1373"/>
        <v>1,300</v>
      </c>
      <c r="AZ341" s="4" t="str">
        <f t="shared" si="1374"/>
        <v>1,300</v>
      </c>
      <c r="BA341" s="4" t="str">
        <f t="shared" si="1375"/>
        <v>1,300</v>
      </c>
      <c r="BB341" s="4" t="str">
        <f t="shared" si="1376"/>
        <v>1,250</v>
      </c>
      <c r="BC341" s="4" t="str">
        <f t="shared" si="1377"/>
        <v>1,250</v>
      </c>
      <c r="BD341" s="4" t="str">
        <f t="shared" si="1378"/>
        <v>1,250</v>
      </c>
      <c r="BE341" s="4" t="str">
        <f t="shared" si="1379"/>
        <v>1,250</v>
      </c>
      <c r="BF341" s="4" t="str">
        <f t="shared" si="1380"/>
        <v>1,250</v>
      </c>
      <c r="BG341" s="4" t="str">
        <f t="shared" si="1381"/>
        <v>1,250</v>
      </c>
      <c r="BH341" s="4" t="str">
        <f t="shared" si="1382"/>
        <v>1,250</v>
      </c>
      <c r="BI341" s="4" t="str">
        <f t="shared" si="1383"/>
        <v>1,250</v>
      </c>
      <c r="BJ341" s="4" t="str">
        <f t="shared" si="1384"/>
        <v>1,250</v>
      </c>
    </row>
    <row r="342" customHeight="1" spans="1:62">
      <c r="A342" s="62">
        <f t="shared" si="1179"/>
        <v>2023</v>
      </c>
      <c r="B342" s="74" t="s">
        <v>144</v>
      </c>
      <c r="C342" s="64" t="s">
        <v>218</v>
      </c>
      <c r="D342" s="46" t="s">
        <v>368</v>
      </c>
      <c r="E342" s="66">
        <v>3</v>
      </c>
      <c r="F342" s="35">
        <v>1</v>
      </c>
      <c r="G342" s="35">
        <f t="shared" si="1385"/>
        <v>1</v>
      </c>
      <c r="H342" s="35">
        <v>1</v>
      </c>
      <c r="I342" s="35">
        <v>1</v>
      </c>
      <c r="J342" s="35">
        <v>1</v>
      </c>
      <c r="K342" s="35">
        <v>1</v>
      </c>
      <c r="L342" s="35">
        <v>1</v>
      </c>
      <c r="M342" s="35"/>
      <c r="N342">
        <f>INDEX($C$2:$C$5,MATCH(E342,$B$2:$B$5,0))</f>
        <v>1500</v>
      </c>
      <c r="O342" s="35">
        <v>1</v>
      </c>
      <c r="P342" s="24">
        <f>ROUND(INDEX($C$2:$C$5,MATCH($E342,$B$2:$B$5,0))*$F342/SUMIFS($F:$F,$E:$E,$E342,$B:$B,$B342,O:O,1)*IF(B342=$B$10,0.9,1),0)</f>
        <v>250</v>
      </c>
      <c r="Q342" s="24">
        <f t="shared" ref="Q342:U342" si="1430">IF($L342&lt;=Q$8,1,0)</f>
        <v>1</v>
      </c>
      <c r="R342" s="24">
        <f>ROUND(INDEX($C$2:$C$5,MATCH($E342,$B$2:$B$5,0))*$I342/SUMIFS($I:$I,$E:$E,$E342,$B:$B,$B342,Q:Q,1)*IF(B342=$B$10,0.9,1),0)</f>
        <v>300</v>
      </c>
      <c r="S342" s="24">
        <f t="shared" si="1430"/>
        <v>1</v>
      </c>
      <c r="T342" s="24">
        <f>ROUND(INDEX($C$2:$C$5,MATCH($E342,$B$2:$B$5,0))*$J342/SUMIFS($J:$J,$E:$E,$E342,$B:$B,$B342,S:S,1)*IF(B342=$B$10,0.9,1),0)</f>
        <v>300</v>
      </c>
      <c r="U342" s="24">
        <f t="shared" si="1430"/>
        <v>1</v>
      </c>
      <c r="V342" s="24">
        <f>ROUND(INDEX($C$2:$C$5,MATCH($E342,$B$2:$B$5,0))*$K342/SUMIFS($K:$K,$E:$E,$E342,$B:$B,$B342,U:U,1)*IF(B342=$B$10,0.9,1),0)</f>
        <v>300</v>
      </c>
      <c r="W342" s="24">
        <f t="shared" ref="W342:AA342" si="1431">IF($L342&lt;=W$8,1,0)</f>
        <v>1</v>
      </c>
      <c r="X342" s="24">
        <f>ROUND(INDEX($C$2:$C$5,MATCH($E342,$B$2:$B$5,0))*$F342/SUMIFS($F:$F,$E:$E,$E342,$B:$B,$B342,W:W,1)*IF(B342=$B$10,0.9,1),0)</f>
        <v>250</v>
      </c>
      <c r="Y342" s="24">
        <f t="shared" si="1431"/>
        <v>1</v>
      </c>
      <c r="Z342" s="24">
        <f>ROUND(INDEX($C$2:$C$5,MATCH($E342,$B$2:$B$5,0))*$G342/SUMIFS($G:$G,$E:$E,$E342,$B:$B,$B342,Y:Y,1)*IF(B342=$B$10,0.9,1),0)</f>
        <v>250</v>
      </c>
      <c r="AA342" s="24">
        <f t="shared" si="1431"/>
        <v>1</v>
      </c>
      <c r="AB342" s="24">
        <f>ROUND(INDEX($C$2:$C$5,MATCH($E342,$B$2:$B$5,0))*$H342/SUMIFS($H:$H,$E:$E,$E342,$B:$B,$B342,AA:AA,1)*IF(B342=$B$10,0.9,1),0)</f>
        <v>250</v>
      </c>
      <c r="AC342" s="24">
        <f t="shared" ref="AC342:AG342" si="1432">IF($L342&lt;=AC$8,1,0)</f>
        <v>1</v>
      </c>
      <c r="AD342" s="24">
        <f>ROUND(INDEX($C$2:$C$5,MATCH($E342,$B$2:$B$5,0))*$F342/SUMIFS($F:$F,$E:$E,$E342,$B:$B,$B342,AC:AC,1)*IF(B342=$B$10,0.9,1),0)</f>
        <v>250</v>
      </c>
      <c r="AE342" s="24">
        <f t="shared" si="1432"/>
        <v>1</v>
      </c>
      <c r="AF342" s="24">
        <f>ROUND(INDEX($C$2:$C$5,MATCH($E342,$B$2:$B$5,0))*$G342/SUMIFS($G:$G,$E:$E,$E342,$B:$B,$B342,AE:AE,1)*IF(B342=$B$10,0.9,1),0)</f>
        <v>250</v>
      </c>
      <c r="AG342" s="24">
        <f t="shared" si="1432"/>
        <v>1</v>
      </c>
      <c r="AH342" s="24">
        <f>ROUND(INDEX($C$2:$C$5,MATCH($E342,$B$2:$B$5,0))*$H342/SUMIFS($H:$H,$E:$E,$E342,$B:$B,$B342,AG:AG,1)*IF(B342=$B$10,0.9,1),0)</f>
        <v>250</v>
      </c>
      <c r="AI342" s="24">
        <f t="shared" ref="AI342:AM342" si="1433">IF($L342&lt;=AI$8,1,0)</f>
        <v>1</v>
      </c>
      <c r="AJ342" s="24">
        <f>ROUND(INDEX($C$2:$C$5,MATCH($E342,$B$2:$B$5,0))*$F342/SUMIFS($F:$F,$E:$E,$E342,$B:$B,$B342,AI:AI,1)*IF(B342=$B$10,0.9,1),0)</f>
        <v>250</v>
      </c>
      <c r="AK342" s="24">
        <f t="shared" si="1433"/>
        <v>1</v>
      </c>
      <c r="AL342" s="24">
        <f>ROUND(INDEX($C$2:$C$5,MATCH($E342,$B$2:$B$5,0))*$G342/SUMIFS($G:$G,$E:$E,$E342,$B:$B,$B342,AK:AK,1)*IF(B342=$B$10,0.9,1),0)</f>
        <v>250</v>
      </c>
      <c r="AM342" s="24">
        <f t="shared" si="1433"/>
        <v>1</v>
      </c>
      <c r="AN342" s="24">
        <f>ROUND(INDEX($C$2:$C$5,MATCH($E342,$B$2:$B$5,0))*$H342/SUMIFS($H:$H,$E:$E,$E342,$B:$B,$B342,AM:AM,1)*IF(B342=$B$10,0.9,1),0)</f>
        <v>250</v>
      </c>
      <c r="AX342" s="4" t="str">
        <f t="shared" si="1372"/>
        <v>1,250</v>
      </c>
      <c r="AY342" s="4" t="str">
        <f t="shared" si="1373"/>
        <v>1,300</v>
      </c>
      <c r="AZ342" s="4" t="str">
        <f t="shared" si="1374"/>
        <v>1,300</v>
      </c>
      <c r="BA342" s="4" t="str">
        <f t="shared" si="1375"/>
        <v>1,300</v>
      </c>
      <c r="BB342" s="4" t="str">
        <f t="shared" si="1376"/>
        <v>1,250</v>
      </c>
      <c r="BC342" s="4" t="str">
        <f t="shared" si="1377"/>
        <v>1,250</v>
      </c>
      <c r="BD342" s="4" t="str">
        <f t="shared" si="1378"/>
        <v>1,250</v>
      </c>
      <c r="BE342" s="4" t="str">
        <f t="shared" si="1379"/>
        <v>1,250</v>
      </c>
      <c r="BF342" s="4" t="str">
        <f t="shared" si="1380"/>
        <v>1,250</v>
      </c>
      <c r="BG342" s="4" t="str">
        <f t="shared" si="1381"/>
        <v>1,250</v>
      </c>
      <c r="BH342" s="4" t="str">
        <f t="shared" si="1382"/>
        <v>1,250</v>
      </c>
      <c r="BI342" s="4" t="str">
        <f t="shared" si="1383"/>
        <v>1,250</v>
      </c>
      <c r="BJ342" s="4" t="str">
        <f t="shared" si="1384"/>
        <v>1,250</v>
      </c>
    </row>
    <row r="343" customHeight="1" spans="1:62">
      <c r="A343" s="62">
        <f t="shared" si="1179"/>
        <v>2024</v>
      </c>
      <c r="B343" s="74" t="s">
        <v>144</v>
      </c>
      <c r="C343" s="64" t="s">
        <v>218</v>
      </c>
      <c r="D343" s="46" t="s">
        <v>369</v>
      </c>
      <c r="E343" s="66">
        <v>3</v>
      </c>
      <c r="F343" s="35">
        <v>1</v>
      </c>
      <c r="G343" s="35">
        <f t="shared" si="1385"/>
        <v>1</v>
      </c>
      <c r="H343" s="35">
        <v>1</v>
      </c>
      <c r="I343" s="35">
        <v>1</v>
      </c>
      <c r="J343" s="35">
        <v>1</v>
      </c>
      <c r="K343" s="35">
        <v>1</v>
      </c>
      <c r="L343" s="35">
        <v>1</v>
      </c>
      <c r="M343" s="35"/>
      <c r="N343">
        <f>INDEX($C$2:$C$5,MATCH(E343,$B$2:$B$5,0))</f>
        <v>1500</v>
      </c>
      <c r="O343" s="35">
        <v>1</v>
      </c>
      <c r="P343" s="24">
        <f>ROUND(INDEX($C$2:$C$5,MATCH($E343,$B$2:$B$5,0))*$F343/SUMIFS($F:$F,$E:$E,$E343,$B:$B,$B343,O:O,1)*IF(B343=$B$10,0.9,1),0)</f>
        <v>250</v>
      </c>
      <c r="Q343" s="24">
        <f t="shared" ref="Q343:U343" si="1434">IF($L343&lt;=Q$8,1,0)</f>
        <v>1</v>
      </c>
      <c r="R343" s="24">
        <f>ROUND(INDEX($C$2:$C$5,MATCH($E343,$B$2:$B$5,0))*$I343/SUMIFS($I:$I,$E:$E,$E343,$B:$B,$B343,Q:Q,1)*IF(B343=$B$10,0.9,1),0)</f>
        <v>300</v>
      </c>
      <c r="S343" s="24">
        <f t="shared" si="1434"/>
        <v>1</v>
      </c>
      <c r="T343" s="24">
        <f>ROUND(INDEX($C$2:$C$5,MATCH($E343,$B$2:$B$5,0))*$J343/SUMIFS($J:$J,$E:$E,$E343,$B:$B,$B343,S:S,1)*IF(B343=$B$10,0.9,1),0)</f>
        <v>300</v>
      </c>
      <c r="U343" s="24">
        <f t="shared" si="1434"/>
        <v>1</v>
      </c>
      <c r="V343" s="24">
        <f>ROUND(INDEX($C$2:$C$5,MATCH($E343,$B$2:$B$5,0))*$K343/SUMIFS($K:$K,$E:$E,$E343,$B:$B,$B343,U:U,1)*IF(B343=$B$10,0.9,1),0)</f>
        <v>300</v>
      </c>
      <c r="W343" s="24">
        <f t="shared" ref="W343:AA343" si="1435">IF($L343&lt;=W$8,1,0)</f>
        <v>1</v>
      </c>
      <c r="X343" s="24">
        <f>ROUND(INDEX($C$2:$C$5,MATCH($E343,$B$2:$B$5,0))*$F343/SUMIFS($F:$F,$E:$E,$E343,$B:$B,$B343,W:W,1)*IF(B343=$B$10,0.9,1),0)</f>
        <v>250</v>
      </c>
      <c r="Y343" s="24">
        <f t="shared" si="1435"/>
        <v>1</v>
      </c>
      <c r="Z343" s="24">
        <f>ROUND(INDEX($C$2:$C$5,MATCH($E343,$B$2:$B$5,0))*$G343/SUMIFS($G:$G,$E:$E,$E343,$B:$B,$B343,Y:Y,1)*IF(B343=$B$10,0.9,1),0)</f>
        <v>250</v>
      </c>
      <c r="AA343" s="24">
        <f t="shared" si="1435"/>
        <v>1</v>
      </c>
      <c r="AB343" s="24">
        <f>ROUND(INDEX($C$2:$C$5,MATCH($E343,$B$2:$B$5,0))*$H343/SUMIFS($H:$H,$E:$E,$E343,$B:$B,$B343,AA:AA,1)*IF(B343=$B$10,0.9,1),0)</f>
        <v>250</v>
      </c>
      <c r="AC343" s="24">
        <f t="shared" ref="AC343:AG343" si="1436">IF($L343&lt;=AC$8,1,0)</f>
        <v>1</v>
      </c>
      <c r="AD343" s="24">
        <f>ROUND(INDEX($C$2:$C$5,MATCH($E343,$B$2:$B$5,0))*$F343/SUMIFS($F:$F,$E:$E,$E343,$B:$B,$B343,AC:AC,1)*IF(B343=$B$10,0.9,1),0)</f>
        <v>250</v>
      </c>
      <c r="AE343" s="24">
        <f t="shared" si="1436"/>
        <v>1</v>
      </c>
      <c r="AF343" s="24">
        <f>ROUND(INDEX($C$2:$C$5,MATCH($E343,$B$2:$B$5,0))*$G343/SUMIFS($G:$G,$E:$E,$E343,$B:$B,$B343,AE:AE,1)*IF(B343=$B$10,0.9,1),0)</f>
        <v>250</v>
      </c>
      <c r="AG343" s="24">
        <f t="shared" si="1436"/>
        <v>1</v>
      </c>
      <c r="AH343" s="24">
        <f>ROUND(INDEX($C$2:$C$5,MATCH($E343,$B$2:$B$5,0))*$H343/SUMIFS($H:$H,$E:$E,$E343,$B:$B,$B343,AG:AG,1)*IF(B343=$B$10,0.9,1),0)</f>
        <v>250</v>
      </c>
      <c r="AI343" s="24">
        <f t="shared" ref="AI343:AM343" si="1437">IF($L343&lt;=AI$8,1,0)</f>
        <v>1</v>
      </c>
      <c r="AJ343" s="24">
        <f>ROUND(INDEX($C$2:$C$5,MATCH($E343,$B$2:$B$5,0))*$F343/SUMIFS($F:$F,$E:$E,$E343,$B:$B,$B343,AI:AI,1)*IF(B343=$B$10,0.9,1),0)</f>
        <v>250</v>
      </c>
      <c r="AK343" s="24">
        <f t="shared" si="1437"/>
        <v>1</v>
      </c>
      <c r="AL343" s="24">
        <f>ROUND(INDEX($C$2:$C$5,MATCH($E343,$B$2:$B$5,0))*$G343/SUMIFS($G:$G,$E:$E,$E343,$B:$B,$B343,AK:AK,1)*IF(B343=$B$10,0.9,1),0)</f>
        <v>250</v>
      </c>
      <c r="AM343" s="24">
        <f t="shared" si="1437"/>
        <v>1</v>
      </c>
      <c r="AN343" s="24">
        <f>ROUND(INDEX($C$2:$C$5,MATCH($E343,$B$2:$B$5,0))*$H343/SUMIFS($H:$H,$E:$E,$E343,$B:$B,$B343,AM:AM,1)*IF(B343=$B$10,0.9,1),0)</f>
        <v>250</v>
      </c>
      <c r="AX343" s="4" t="str">
        <f t="shared" si="1372"/>
        <v>1,250</v>
      </c>
      <c r="AY343" s="4" t="str">
        <f t="shared" si="1373"/>
        <v>1,300</v>
      </c>
      <c r="AZ343" s="4" t="str">
        <f t="shared" si="1374"/>
        <v>1,300</v>
      </c>
      <c r="BA343" s="4" t="str">
        <f t="shared" si="1375"/>
        <v>1,300</v>
      </c>
      <c r="BB343" s="4" t="str">
        <f t="shared" si="1376"/>
        <v>1,250</v>
      </c>
      <c r="BC343" s="4" t="str">
        <f t="shared" si="1377"/>
        <v>1,250</v>
      </c>
      <c r="BD343" s="4" t="str">
        <f t="shared" si="1378"/>
        <v>1,250</v>
      </c>
      <c r="BE343" s="4" t="str">
        <f t="shared" si="1379"/>
        <v>1,250</v>
      </c>
      <c r="BF343" s="4" t="str">
        <f t="shared" si="1380"/>
        <v>1,250</v>
      </c>
      <c r="BG343" s="4" t="str">
        <f t="shared" si="1381"/>
        <v>1,250</v>
      </c>
      <c r="BH343" s="4" t="str">
        <f t="shared" si="1382"/>
        <v>1,250</v>
      </c>
      <c r="BI343" s="4" t="str">
        <f t="shared" si="1383"/>
        <v>1,250</v>
      </c>
      <c r="BJ343" s="4" t="str">
        <f t="shared" si="1384"/>
        <v>1,250</v>
      </c>
    </row>
    <row r="344" customHeight="1" spans="1:62">
      <c r="A344" s="62">
        <f t="shared" si="1179"/>
        <v>2031</v>
      </c>
      <c r="B344" s="74" t="s">
        <v>144</v>
      </c>
      <c r="C344" s="64" t="s">
        <v>218</v>
      </c>
      <c r="D344" s="44" t="s">
        <v>128</v>
      </c>
      <c r="E344" s="67">
        <v>2</v>
      </c>
      <c r="F344" s="35">
        <v>1</v>
      </c>
      <c r="G344" s="35">
        <f t="shared" si="1385"/>
        <v>1</v>
      </c>
      <c r="H344" s="35">
        <v>1</v>
      </c>
      <c r="I344" s="35">
        <v>1</v>
      </c>
      <c r="J344" s="35">
        <v>1</v>
      </c>
      <c r="K344" s="35">
        <v>1</v>
      </c>
      <c r="L344" s="35">
        <v>1</v>
      </c>
      <c r="M344" s="35"/>
      <c r="N344">
        <f>INDEX($C$2:$C$5,MATCH(E344,$B$2:$B$5,0))</f>
        <v>4500</v>
      </c>
      <c r="O344" s="35">
        <v>1</v>
      </c>
      <c r="P344" s="24">
        <f>ROUND(INDEX($C$2:$C$5,MATCH($E344,$B$2:$B$5,0))*$F344/SUMIFS($F:$F,$E:$E,$E344,$B:$B,$B344,O:O,1)*IF(B344=$B$10,0.9,1),0)</f>
        <v>750</v>
      </c>
      <c r="Q344" s="24">
        <f t="shared" ref="Q344:U344" si="1438">IF($L344&lt;=Q$8,1,0)</f>
        <v>1</v>
      </c>
      <c r="R344" s="24">
        <f>ROUND(INDEX($C$2:$C$5,MATCH($E344,$B$2:$B$5,0))*$I344/SUMIFS($I:$I,$E:$E,$E344,$B:$B,$B344,Q:Q,1)*IF(B344=$B$10,0.9,1),0)</f>
        <v>900</v>
      </c>
      <c r="S344" s="24">
        <f t="shared" si="1438"/>
        <v>1</v>
      </c>
      <c r="T344" s="24">
        <f>ROUND(INDEX($C$2:$C$5,MATCH($E344,$B$2:$B$5,0))*$J344/SUMIFS($J:$J,$E:$E,$E344,$B:$B,$B344,S:S,1)*IF(B344=$B$10,0.9,1),0)</f>
        <v>900</v>
      </c>
      <c r="U344" s="24">
        <f t="shared" si="1438"/>
        <v>1</v>
      </c>
      <c r="V344" s="24">
        <f>ROUND(INDEX($C$2:$C$5,MATCH($E344,$B$2:$B$5,0))*$K344/SUMIFS($K:$K,$E:$E,$E344,$B:$B,$B344,U:U,1)*IF(B344=$B$10,0.9,1),0)</f>
        <v>900</v>
      </c>
      <c r="W344" s="24">
        <f t="shared" ref="W344:AA344" si="1439">IF($L344&lt;=W$8,1,0)</f>
        <v>1</v>
      </c>
      <c r="X344" s="24">
        <f>ROUND(INDEX($C$2:$C$5,MATCH($E344,$B$2:$B$5,0))*$F344/SUMIFS($F:$F,$E:$E,$E344,$B:$B,$B344,W:W,1)*IF(B344=$B$10,0.9,1),0)</f>
        <v>750</v>
      </c>
      <c r="Y344" s="24">
        <f t="shared" si="1439"/>
        <v>1</v>
      </c>
      <c r="Z344" s="24">
        <f>ROUND(INDEX($C$2:$C$5,MATCH($E344,$B$2:$B$5,0))*$G344/SUMIFS($G:$G,$E:$E,$E344,$B:$B,$B344,Y:Y,1)*IF(B344=$B$10,0.9,1),0)</f>
        <v>750</v>
      </c>
      <c r="AA344" s="24">
        <f t="shared" si="1439"/>
        <v>1</v>
      </c>
      <c r="AB344" s="24">
        <f>ROUND(INDEX($C$2:$C$5,MATCH($E344,$B$2:$B$5,0))*$H344/SUMIFS($H:$H,$E:$E,$E344,$B:$B,$B344,AA:AA,1)*IF(B344=$B$10,0.9,1),0)</f>
        <v>750</v>
      </c>
      <c r="AC344" s="24">
        <f t="shared" ref="AC344:AG344" si="1440">IF($L344&lt;=AC$8,1,0)</f>
        <v>1</v>
      </c>
      <c r="AD344" s="24">
        <f>ROUND(INDEX($C$2:$C$5,MATCH($E344,$B$2:$B$5,0))*$F344/SUMIFS($F:$F,$E:$E,$E344,$B:$B,$B344,AC:AC,1)*IF(B344=$B$10,0.9,1),0)</f>
        <v>750</v>
      </c>
      <c r="AE344" s="24">
        <f t="shared" si="1440"/>
        <v>1</v>
      </c>
      <c r="AF344" s="24">
        <f>ROUND(INDEX($C$2:$C$5,MATCH($E344,$B$2:$B$5,0))*$G344/SUMIFS($G:$G,$E:$E,$E344,$B:$B,$B344,AE:AE,1)*IF(B344=$B$10,0.9,1),0)</f>
        <v>750</v>
      </c>
      <c r="AG344" s="24">
        <f t="shared" si="1440"/>
        <v>1</v>
      </c>
      <c r="AH344" s="24">
        <f>ROUND(INDEX($C$2:$C$5,MATCH($E344,$B$2:$B$5,0))*$H344/SUMIFS($H:$H,$E:$E,$E344,$B:$B,$B344,AG:AG,1)*IF(B344=$B$10,0.9,1),0)</f>
        <v>750</v>
      </c>
      <c r="AI344" s="24">
        <f t="shared" ref="AI344:AM344" si="1441">IF($L344&lt;=AI$8,1,0)</f>
        <v>1</v>
      </c>
      <c r="AJ344" s="24">
        <f>ROUND(INDEX($C$2:$C$5,MATCH($E344,$B$2:$B$5,0))*$F344/SUMIFS($F:$F,$E:$E,$E344,$B:$B,$B344,AI:AI,1)*IF(B344=$B$10,0.9,1),0)</f>
        <v>750</v>
      </c>
      <c r="AK344" s="24">
        <f t="shared" si="1441"/>
        <v>1</v>
      </c>
      <c r="AL344" s="24">
        <f>ROUND(INDEX($C$2:$C$5,MATCH($E344,$B$2:$B$5,0))*$G344/SUMIFS($G:$G,$E:$E,$E344,$B:$B,$B344,AK:AK,1)*IF(B344=$B$10,0.9,1),0)</f>
        <v>750</v>
      </c>
      <c r="AM344" s="24">
        <f t="shared" si="1441"/>
        <v>1</v>
      </c>
      <c r="AN344" s="24">
        <f>ROUND(INDEX($C$2:$C$5,MATCH($E344,$B$2:$B$5,0))*$H344/SUMIFS($H:$H,$E:$E,$E344,$B:$B,$B344,AM:AM,1)*IF(B344=$B$10,0.9,1),0)</f>
        <v>750</v>
      </c>
      <c r="AX344" s="4" t="str">
        <f t="shared" si="1372"/>
        <v>1,750</v>
      </c>
      <c r="AY344" s="4" t="str">
        <f t="shared" si="1373"/>
        <v>1,900</v>
      </c>
      <c r="AZ344" s="4" t="str">
        <f t="shared" si="1374"/>
        <v>1,900</v>
      </c>
      <c r="BA344" s="4" t="str">
        <f t="shared" si="1375"/>
        <v>1,900</v>
      </c>
      <c r="BB344" s="4" t="str">
        <f t="shared" si="1376"/>
        <v>1,750</v>
      </c>
      <c r="BC344" s="4" t="str">
        <f t="shared" si="1377"/>
        <v>1,750</v>
      </c>
      <c r="BD344" s="4" t="str">
        <f t="shared" si="1378"/>
        <v>1,750</v>
      </c>
      <c r="BE344" s="4" t="str">
        <f t="shared" si="1379"/>
        <v>1,750</v>
      </c>
      <c r="BF344" s="4" t="str">
        <f t="shared" si="1380"/>
        <v>1,750</v>
      </c>
      <c r="BG344" s="4" t="str">
        <f t="shared" si="1381"/>
        <v>1,750</v>
      </c>
      <c r="BH344" s="4" t="str">
        <f t="shared" si="1382"/>
        <v>1,750</v>
      </c>
      <c r="BI344" s="4" t="str">
        <f t="shared" si="1383"/>
        <v>1,750</v>
      </c>
      <c r="BJ344" s="4" t="str">
        <f t="shared" si="1384"/>
        <v>1,750</v>
      </c>
    </row>
    <row r="345" customHeight="1" spans="1:62">
      <c r="A345" s="62">
        <f t="shared" si="1179"/>
        <v>2032</v>
      </c>
      <c r="B345" s="74" t="s">
        <v>144</v>
      </c>
      <c r="C345" s="64" t="s">
        <v>218</v>
      </c>
      <c r="D345" s="44" t="s">
        <v>145</v>
      </c>
      <c r="E345" s="67">
        <v>2</v>
      </c>
      <c r="F345" s="35">
        <v>1</v>
      </c>
      <c r="G345" s="35">
        <f t="shared" si="1385"/>
        <v>1</v>
      </c>
      <c r="H345" s="35">
        <v>1</v>
      </c>
      <c r="I345" s="35">
        <v>1</v>
      </c>
      <c r="J345" s="35">
        <v>1</v>
      </c>
      <c r="K345" s="35">
        <v>1</v>
      </c>
      <c r="L345" s="35">
        <v>2</v>
      </c>
      <c r="M345" s="35"/>
      <c r="N345">
        <f>INDEX($C$2:$C$5,MATCH(E345,$B$2:$B$5,0))</f>
        <v>4500</v>
      </c>
      <c r="O345" s="35">
        <v>1</v>
      </c>
      <c r="P345" s="24">
        <f>ROUND(INDEX($C$2:$C$5,MATCH($E345,$B$2:$B$5,0))*$F345/SUMIFS($F:$F,$E:$E,$E345,$B:$B,$B345,O:O,1)*IF(B345=$B$10,0.9,1),0)</f>
        <v>750</v>
      </c>
      <c r="Q345" s="24">
        <f t="shared" ref="Q345:U345" si="1442">IF($L345&lt;=Q$8,1,0)</f>
        <v>0</v>
      </c>
      <c r="R345" s="24">
        <f>ROUND(INDEX($C$2:$C$5,MATCH($E345,$B$2:$B$5,0))*$I345/SUMIFS($I:$I,$E:$E,$E345,$B:$B,$B345,Q:Q,1)*IF(B345=$B$10,0.9,1),0)</f>
        <v>900</v>
      </c>
      <c r="S345" s="24">
        <f t="shared" si="1442"/>
        <v>0</v>
      </c>
      <c r="T345" s="24">
        <f>ROUND(INDEX($C$2:$C$5,MATCH($E345,$B$2:$B$5,0))*$J345/SUMIFS($J:$J,$E:$E,$E345,$B:$B,$B345,S:S,1)*IF(B345=$B$10,0.9,1),0)</f>
        <v>900</v>
      </c>
      <c r="U345" s="24">
        <f t="shared" si="1442"/>
        <v>0</v>
      </c>
      <c r="V345" s="24">
        <f>ROUND(INDEX($C$2:$C$5,MATCH($E345,$B$2:$B$5,0))*$K345/SUMIFS($K:$K,$E:$E,$E345,$B:$B,$B345,U:U,1)*IF(B345=$B$10,0.9,1),0)</f>
        <v>900</v>
      </c>
      <c r="W345" s="24">
        <f t="shared" ref="W345:AA345" si="1443">IF($L345&lt;=W$8,1,0)</f>
        <v>1</v>
      </c>
      <c r="X345" s="24">
        <f>ROUND(INDEX($C$2:$C$5,MATCH($E345,$B$2:$B$5,0))*$F345/SUMIFS($F:$F,$E:$E,$E345,$B:$B,$B345,W:W,1)*IF(B345=$B$10,0.9,1),0)</f>
        <v>750</v>
      </c>
      <c r="Y345" s="24">
        <f t="shared" si="1443"/>
        <v>1</v>
      </c>
      <c r="Z345" s="24">
        <f>ROUND(INDEX($C$2:$C$5,MATCH($E345,$B$2:$B$5,0))*$G345/SUMIFS($G:$G,$E:$E,$E345,$B:$B,$B345,Y:Y,1)*IF(B345=$B$10,0.9,1),0)</f>
        <v>750</v>
      </c>
      <c r="AA345" s="24">
        <f t="shared" si="1443"/>
        <v>1</v>
      </c>
      <c r="AB345" s="24">
        <f>ROUND(INDEX($C$2:$C$5,MATCH($E345,$B$2:$B$5,0))*$H345/SUMIFS($H:$H,$E:$E,$E345,$B:$B,$B345,AA:AA,1)*IF(B345=$B$10,0.9,1),0)</f>
        <v>750</v>
      </c>
      <c r="AC345" s="24">
        <f t="shared" ref="AC345:AG345" si="1444">IF($L345&lt;=AC$8,1,0)</f>
        <v>1</v>
      </c>
      <c r="AD345" s="24">
        <f>ROUND(INDEX($C$2:$C$5,MATCH($E345,$B$2:$B$5,0))*$F345/SUMIFS($F:$F,$E:$E,$E345,$B:$B,$B345,AC:AC,1)*IF(B345=$B$10,0.9,1),0)</f>
        <v>750</v>
      </c>
      <c r="AE345" s="24">
        <f t="shared" si="1444"/>
        <v>1</v>
      </c>
      <c r="AF345" s="24">
        <f>ROUND(INDEX($C$2:$C$5,MATCH($E345,$B$2:$B$5,0))*$G345/SUMIFS($G:$G,$E:$E,$E345,$B:$B,$B345,AE:AE,1)*IF(B345=$B$10,0.9,1),0)</f>
        <v>750</v>
      </c>
      <c r="AG345" s="24">
        <f t="shared" si="1444"/>
        <v>1</v>
      </c>
      <c r="AH345" s="24">
        <f>ROUND(INDEX($C$2:$C$5,MATCH($E345,$B$2:$B$5,0))*$H345/SUMIFS($H:$H,$E:$E,$E345,$B:$B,$B345,AG:AG,1)*IF(B345=$B$10,0.9,1),0)</f>
        <v>750</v>
      </c>
      <c r="AI345" s="24">
        <f t="shared" ref="AI345:AM345" si="1445">IF($L345&lt;=AI$8,1,0)</f>
        <v>1</v>
      </c>
      <c r="AJ345" s="24">
        <f>ROUND(INDEX($C$2:$C$5,MATCH($E345,$B$2:$B$5,0))*$F345/SUMIFS($F:$F,$E:$E,$E345,$B:$B,$B345,AI:AI,1)*IF(B345=$B$10,0.9,1),0)</f>
        <v>750</v>
      </c>
      <c r="AK345" s="24">
        <f t="shared" si="1445"/>
        <v>1</v>
      </c>
      <c r="AL345" s="24">
        <f>ROUND(INDEX($C$2:$C$5,MATCH($E345,$B$2:$B$5,0))*$G345/SUMIFS($G:$G,$E:$E,$E345,$B:$B,$B345,AK:AK,1)*IF(B345=$B$10,0.9,1),0)</f>
        <v>750</v>
      </c>
      <c r="AM345" s="24">
        <f t="shared" si="1445"/>
        <v>1</v>
      </c>
      <c r="AN345" s="24">
        <f>ROUND(INDEX($C$2:$C$5,MATCH($E345,$B$2:$B$5,0))*$H345/SUMIFS($H:$H,$E:$E,$E345,$B:$B,$B345,AM:AM,1)*IF(B345=$B$10,0.9,1),0)</f>
        <v>750</v>
      </c>
      <c r="AX345" s="4" t="str">
        <f t="shared" si="1372"/>
        <v>1,750</v>
      </c>
      <c r="AY345" s="4" t="str">
        <f t="shared" si="1373"/>
        <v>0,900</v>
      </c>
      <c r="AZ345" s="4" t="str">
        <f t="shared" si="1374"/>
        <v>0,900</v>
      </c>
      <c r="BA345" s="4" t="str">
        <f t="shared" si="1375"/>
        <v>0,900</v>
      </c>
      <c r="BB345" s="4" t="str">
        <f t="shared" si="1376"/>
        <v>1,750</v>
      </c>
      <c r="BC345" s="4" t="str">
        <f t="shared" si="1377"/>
        <v>1,750</v>
      </c>
      <c r="BD345" s="4" t="str">
        <f t="shared" si="1378"/>
        <v>1,750</v>
      </c>
      <c r="BE345" s="4" t="str">
        <f t="shared" si="1379"/>
        <v>1,750</v>
      </c>
      <c r="BF345" s="4" t="str">
        <f t="shared" si="1380"/>
        <v>1,750</v>
      </c>
      <c r="BG345" s="4" t="str">
        <f t="shared" si="1381"/>
        <v>1,750</v>
      </c>
      <c r="BH345" s="4" t="str">
        <f t="shared" si="1382"/>
        <v>1,750</v>
      </c>
      <c r="BI345" s="4" t="str">
        <f t="shared" si="1383"/>
        <v>1,750</v>
      </c>
      <c r="BJ345" s="4" t="str">
        <f t="shared" si="1384"/>
        <v>1,750</v>
      </c>
    </row>
    <row r="346" customHeight="1" spans="1:62">
      <c r="A346" s="62">
        <f t="shared" si="1179"/>
        <v>2041</v>
      </c>
      <c r="B346" s="74" t="s">
        <v>144</v>
      </c>
      <c r="C346" s="64"/>
      <c r="D346" s="46" t="s">
        <v>146</v>
      </c>
      <c r="E346" s="62">
        <v>3</v>
      </c>
      <c r="F346" s="35">
        <v>1</v>
      </c>
      <c r="G346" s="35">
        <f t="shared" si="1385"/>
        <v>1</v>
      </c>
      <c r="H346" s="35">
        <v>1</v>
      </c>
      <c r="I346" s="35">
        <v>1</v>
      </c>
      <c r="J346" s="35">
        <v>1</v>
      </c>
      <c r="K346" s="35">
        <v>1</v>
      </c>
      <c r="L346" s="35">
        <v>1</v>
      </c>
      <c r="M346" s="35"/>
      <c r="N346">
        <f>INDEX($C$2:$C$5,MATCH(E346,$B$2:$B$5,0))</f>
        <v>1500</v>
      </c>
      <c r="O346" s="35">
        <v>1</v>
      </c>
      <c r="P346" s="24">
        <f>ROUND(INDEX($C$2:$C$5,MATCH($E346,$B$2:$B$5,0))*$F346/SUMIFS($F:$F,$E:$E,$E346,$B:$B,$B346,O:O,1)*IF(B346=$B$10,0.9,1),0)</f>
        <v>250</v>
      </c>
      <c r="Q346" s="24">
        <f t="shared" ref="Q346:U346" si="1446">IF($L346&lt;=Q$8,1,0)</f>
        <v>1</v>
      </c>
      <c r="R346" s="24">
        <f>ROUND(INDEX($C$2:$C$5,MATCH($E346,$B$2:$B$5,0))*$I346/SUMIFS($I:$I,$E:$E,$E346,$B:$B,$B346,Q:Q,1)*IF(B346=$B$10,0.9,1),0)</f>
        <v>300</v>
      </c>
      <c r="S346" s="24">
        <f t="shared" si="1446"/>
        <v>1</v>
      </c>
      <c r="T346" s="24">
        <f>ROUND(INDEX($C$2:$C$5,MATCH($E346,$B$2:$B$5,0))*$J346/SUMIFS($J:$J,$E:$E,$E346,$B:$B,$B346,S:S,1)*IF(B346=$B$10,0.9,1),0)</f>
        <v>300</v>
      </c>
      <c r="U346" s="24">
        <f t="shared" si="1446"/>
        <v>1</v>
      </c>
      <c r="V346" s="24">
        <f>ROUND(INDEX($C$2:$C$5,MATCH($E346,$B$2:$B$5,0))*$K346/SUMIFS($K:$K,$E:$E,$E346,$B:$B,$B346,U:U,1)*IF(B346=$B$10,0.9,1),0)</f>
        <v>300</v>
      </c>
      <c r="W346" s="24">
        <f t="shared" ref="W346:AA346" si="1447">IF($L346&lt;=W$8,1,0)</f>
        <v>1</v>
      </c>
      <c r="X346" s="24">
        <f>ROUND(INDEX($C$2:$C$5,MATCH($E346,$B$2:$B$5,0))*$F346/SUMIFS($F:$F,$E:$E,$E346,$B:$B,$B346,W:W,1)*IF(B346=$B$10,0.9,1),0)</f>
        <v>250</v>
      </c>
      <c r="Y346" s="24">
        <f t="shared" si="1447"/>
        <v>1</v>
      </c>
      <c r="Z346" s="24">
        <f>ROUND(INDEX($C$2:$C$5,MATCH($E346,$B$2:$B$5,0))*$G346/SUMIFS($G:$G,$E:$E,$E346,$B:$B,$B346,Y:Y,1)*IF(B346=$B$10,0.9,1),0)</f>
        <v>250</v>
      </c>
      <c r="AA346" s="24">
        <f t="shared" si="1447"/>
        <v>1</v>
      </c>
      <c r="AB346" s="24">
        <f>ROUND(INDEX($C$2:$C$5,MATCH($E346,$B$2:$B$5,0))*$H346/SUMIFS($H:$H,$E:$E,$E346,$B:$B,$B346,AA:AA,1)*IF(B346=$B$10,0.9,1),0)</f>
        <v>250</v>
      </c>
      <c r="AC346" s="24">
        <f t="shared" ref="AC346:AG346" si="1448">IF($L346&lt;=AC$8,1,0)</f>
        <v>1</v>
      </c>
      <c r="AD346" s="24">
        <f>ROUND(INDEX($C$2:$C$5,MATCH($E346,$B$2:$B$5,0))*$F346/SUMIFS($F:$F,$E:$E,$E346,$B:$B,$B346,AC:AC,1)*IF(B346=$B$10,0.9,1),0)</f>
        <v>250</v>
      </c>
      <c r="AE346" s="24">
        <f t="shared" si="1448"/>
        <v>1</v>
      </c>
      <c r="AF346" s="24">
        <f>ROUND(INDEX($C$2:$C$5,MATCH($E346,$B$2:$B$5,0))*$G346/SUMIFS($G:$G,$E:$E,$E346,$B:$B,$B346,AE:AE,1)*IF(B346=$B$10,0.9,1),0)</f>
        <v>250</v>
      </c>
      <c r="AG346" s="24">
        <f t="shared" si="1448"/>
        <v>1</v>
      </c>
      <c r="AH346" s="24">
        <f>ROUND(INDEX($C$2:$C$5,MATCH($E346,$B$2:$B$5,0))*$H346/SUMIFS($H:$H,$E:$E,$E346,$B:$B,$B346,AG:AG,1)*IF(B346=$B$10,0.9,1),0)</f>
        <v>250</v>
      </c>
      <c r="AI346" s="24">
        <f t="shared" ref="AI346:AM346" si="1449">IF($L346&lt;=AI$8,1,0)</f>
        <v>1</v>
      </c>
      <c r="AJ346" s="24">
        <f>ROUND(INDEX($C$2:$C$5,MATCH($E346,$B$2:$B$5,0))*$F346/SUMIFS($F:$F,$E:$E,$E346,$B:$B,$B346,AI:AI,1)*IF(B346=$B$10,0.9,1),0)</f>
        <v>250</v>
      </c>
      <c r="AK346" s="24">
        <f t="shared" si="1449"/>
        <v>1</v>
      </c>
      <c r="AL346" s="24">
        <f>ROUND(INDEX($C$2:$C$5,MATCH($E346,$B$2:$B$5,0))*$G346/SUMIFS($G:$G,$E:$E,$E346,$B:$B,$B346,AK:AK,1)*IF(B346=$B$10,0.9,1),0)</f>
        <v>250</v>
      </c>
      <c r="AM346" s="24">
        <f t="shared" si="1449"/>
        <v>1</v>
      </c>
      <c r="AN346" s="24">
        <f>ROUND(INDEX($C$2:$C$5,MATCH($E346,$B$2:$B$5,0))*$H346/SUMIFS($H:$H,$E:$E,$E346,$B:$B,$B346,AM:AM,1)*IF(B346=$B$10,0.9,1),0)</f>
        <v>250</v>
      </c>
      <c r="AX346" s="4" t="str">
        <f t="shared" si="1372"/>
        <v>1,250</v>
      </c>
      <c r="AY346" s="4" t="str">
        <f t="shared" si="1373"/>
        <v>1,300</v>
      </c>
      <c r="AZ346" s="4" t="str">
        <f t="shared" si="1374"/>
        <v>1,300</v>
      </c>
      <c r="BA346" s="4" t="str">
        <f t="shared" si="1375"/>
        <v>1,300</v>
      </c>
      <c r="BB346" s="4" t="str">
        <f t="shared" si="1376"/>
        <v>1,250</v>
      </c>
      <c r="BC346" s="4" t="str">
        <f t="shared" si="1377"/>
        <v>1,250</v>
      </c>
      <c r="BD346" s="4" t="str">
        <f t="shared" si="1378"/>
        <v>1,250</v>
      </c>
      <c r="BE346" s="4" t="str">
        <f t="shared" si="1379"/>
        <v>1,250</v>
      </c>
      <c r="BF346" s="4" t="str">
        <f t="shared" si="1380"/>
        <v>1,250</v>
      </c>
      <c r="BG346" s="4" t="str">
        <f t="shared" si="1381"/>
        <v>1,250</v>
      </c>
      <c r="BH346" s="4" t="str">
        <f t="shared" si="1382"/>
        <v>1,250</v>
      </c>
      <c r="BI346" s="4" t="str">
        <f t="shared" si="1383"/>
        <v>1,250</v>
      </c>
      <c r="BJ346" s="4" t="str">
        <f t="shared" si="1384"/>
        <v>1,250</v>
      </c>
    </row>
    <row r="347" customHeight="1" spans="1:62">
      <c r="A347" s="62">
        <f t="shared" ref="A347:A349" si="1450">A330+100</f>
        <v>2042</v>
      </c>
      <c r="B347" s="74" t="s">
        <v>144</v>
      </c>
      <c r="C347" s="64"/>
      <c r="D347" s="46" t="s">
        <v>147</v>
      </c>
      <c r="E347" s="65">
        <v>3</v>
      </c>
      <c r="F347" s="35">
        <v>1</v>
      </c>
      <c r="G347" s="35">
        <f t="shared" si="1385"/>
        <v>1</v>
      </c>
      <c r="H347" s="35">
        <v>1</v>
      </c>
      <c r="I347" s="35">
        <v>1</v>
      </c>
      <c r="J347" s="35">
        <v>1</v>
      </c>
      <c r="K347" s="35">
        <v>1</v>
      </c>
      <c r="L347" s="35">
        <v>2</v>
      </c>
      <c r="M347" s="35"/>
      <c r="N347">
        <f>INDEX($C$2:$C$5,MATCH(E347,$B$2:$B$5,0))</f>
        <v>1500</v>
      </c>
      <c r="O347" s="35">
        <v>1</v>
      </c>
      <c r="P347" s="24">
        <f>ROUND(INDEX($C$2:$C$5,MATCH($E347,$B$2:$B$5,0))*$F347/SUMIFS($F:$F,$E:$E,$E347,$B:$B,$B347,O:O,1)*IF(B347=$B$10,0.9,1),0)</f>
        <v>250</v>
      </c>
      <c r="Q347" s="24">
        <f t="shared" ref="Q347:U347" si="1451">IF($L347&lt;=Q$8,1,0)</f>
        <v>0</v>
      </c>
      <c r="R347" s="24">
        <f>ROUND(INDEX($C$2:$C$5,MATCH($E347,$B$2:$B$5,0))*$I347/SUMIFS($I:$I,$E:$E,$E347,$B:$B,$B347,Q:Q,1)*IF(B347=$B$10,0.9,1),0)</f>
        <v>300</v>
      </c>
      <c r="S347" s="24">
        <f t="shared" si="1451"/>
        <v>0</v>
      </c>
      <c r="T347" s="24">
        <f>ROUND(INDEX($C$2:$C$5,MATCH($E347,$B$2:$B$5,0))*$J347/SUMIFS($J:$J,$E:$E,$E347,$B:$B,$B347,S:S,1)*IF(B347=$B$10,0.9,1),0)</f>
        <v>300</v>
      </c>
      <c r="U347" s="24">
        <f t="shared" si="1451"/>
        <v>0</v>
      </c>
      <c r="V347" s="24">
        <f>ROUND(INDEX($C$2:$C$5,MATCH($E347,$B$2:$B$5,0))*$K347/SUMIFS($K:$K,$E:$E,$E347,$B:$B,$B347,U:U,1)*IF(B347=$B$10,0.9,1),0)</f>
        <v>300</v>
      </c>
      <c r="W347" s="24">
        <f t="shared" ref="W347:AA347" si="1452">IF($L347&lt;=W$8,1,0)</f>
        <v>1</v>
      </c>
      <c r="X347" s="24">
        <f>ROUND(INDEX($C$2:$C$5,MATCH($E347,$B$2:$B$5,0))*$F347/SUMIFS($F:$F,$E:$E,$E347,$B:$B,$B347,W:W,1)*IF(B347=$B$10,0.9,1),0)</f>
        <v>250</v>
      </c>
      <c r="Y347" s="24">
        <f t="shared" si="1452"/>
        <v>1</v>
      </c>
      <c r="Z347" s="24">
        <f>ROUND(INDEX($C$2:$C$5,MATCH($E347,$B$2:$B$5,0))*$G347/SUMIFS($G:$G,$E:$E,$E347,$B:$B,$B347,Y:Y,1)*IF(B347=$B$10,0.9,1),0)</f>
        <v>250</v>
      </c>
      <c r="AA347" s="24">
        <f t="shared" si="1452"/>
        <v>1</v>
      </c>
      <c r="AB347" s="24">
        <f>ROUND(INDEX($C$2:$C$5,MATCH($E347,$B$2:$B$5,0))*$H347/SUMIFS($H:$H,$E:$E,$E347,$B:$B,$B347,AA:AA,1)*IF(B347=$B$10,0.9,1),0)</f>
        <v>250</v>
      </c>
      <c r="AC347" s="24">
        <f t="shared" ref="AC347:AG347" si="1453">IF($L347&lt;=AC$8,1,0)</f>
        <v>1</v>
      </c>
      <c r="AD347" s="24">
        <f>ROUND(INDEX($C$2:$C$5,MATCH($E347,$B$2:$B$5,0))*$F347/SUMIFS($F:$F,$E:$E,$E347,$B:$B,$B347,AC:AC,1)*IF(B347=$B$10,0.9,1),0)</f>
        <v>250</v>
      </c>
      <c r="AE347" s="24">
        <f t="shared" si="1453"/>
        <v>1</v>
      </c>
      <c r="AF347" s="24">
        <f>ROUND(INDEX($C$2:$C$5,MATCH($E347,$B$2:$B$5,0))*$G347/SUMIFS($G:$G,$E:$E,$E347,$B:$B,$B347,AE:AE,1)*IF(B347=$B$10,0.9,1),0)</f>
        <v>250</v>
      </c>
      <c r="AG347" s="24">
        <f t="shared" si="1453"/>
        <v>1</v>
      </c>
      <c r="AH347" s="24">
        <f>ROUND(INDEX($C$2:$C$5,MATCH($E347,$B$2:$B$5,0))*$H347/SUMIFS($H:$H,$E:$E,$E347,$B:$B,$B347,AG:AG,1)*IF(B347=$B$10,0.9,1),0)</f>
        <v>250</v>
      </c>
      <c r="AI347" s="24">
        <f t="shared" ref="AI347:AM347" si="1454">IF($L347&lt;=AI$8,1,0)</f>
        <v>1</v>
      </c>
      <c r="AJ347" s="24">
        <f>ROUND(INDEX($C$2:$C$5,MATCH($E347,$B$2:$B$5,0))*$F347/SUMIFS($F:$F,$E:$E,$E347,$B:$B,$B347,AI:AI,1)*IF(B347=$B$10,0.9,1),0)</f>
        <v>250</v>
      </c>
      <c r="AK347" s="24">
        <f t="shared" si="1454"/>
        <v>1</v>
      </c>
      <c r="AL347" s="24">
        <f>ROUND(INDEX($C$2:$C$5,MATCH($E347,$B$2:$B$5,0))*$G347/SUMIFS($G:$G,$E:$E,$E347,$B:$B,$B347,AK:AK,1)*IF(B347=$B$10,0.9,1),0)</f>
        <v>250</v>
      </c>
      <c r="AM347" s="24">
        <f t="shared" si="1454"/>
        <v>1</v>
      </c>
      <c r="AN347" s="24">
        <f>ROUND(INDEX($C$2:$C$5,MATCH($E347,$B$2:$B$5,0))*$H347/SUMIFS($H:$H,$E:$E,$E347,$B:$B,$B347,AM:AM,1)*IF(B347=$B$10,0.9,1),0)</f>
        <v>250</v>
      </c>
      <c r="AX347" s="4" t="str">
        <f t="shared" si="1372"/>
        <v>1,250</v>
      </c>
      <c r="AY347" s="4" t="str">
        <f t="shared" si="1373"/>
        <v>0,300</v>
      </c>
      <c r="AZ347" s="4" t="str">
        <f t="shared" si="1374"/>
        <v>0,300</v>
      </c>
      <c r="BA347" s="4" t="str">
        <f t="shared" si="1375"/>
        <v>0,300</v>
      </c>
      <c r="BB347" s="4" t="str">
        <f t="shared" si="1376"/>
        <v>1,250</v>
      </c>
      <c r="BC347" s="4" t="str">
        <f t="shared" si="1377"/>
        <v>1,250</v>
      </c>
      <c r="BD347" s="4" t="str">
        <f t="shared" si="1378"/>
        <v>1,250</v>
      </c>
      <c r="BE347" s="4" t="str">
        <f t="shared" si="1379"/>
        <v>1,250</v>
      </c>
      <c r="BF347" s="4" t="str">
        <f t="shared" si="1380"/>
        <v>1,250</v>
      </c>
      <c r="BG347" s="4" t="str">
        <f t="shared" si="1381"/>
        <v>1,250</v>
      </c>
      <c r="BH347" s="4" t="str">
        <f t="shared" si="1382"/>
        <v>1,250</v>
      </c>
      <c r="BI347" s="4" t="str">
        <f t="shared" si="1383"/>
        <v>1,250</v>
      </c>
      <c r="BJ347" s="4" t="str">
        <f t="shared" si="1384"/>
        <v>1,250</v>
      </c>
    </row>
    <row r="348" customHeight="1" spans="1:62">
      <c r="A348" s="62">
        <f t="shared" si="1450"/>
        <v>2051</v>
      </c>
      <c r="B348" s="74" t="s">
        <v>144</v>
      </c>
      <c r="C348" s="64"/>
      <c r="D348" s="47" t="s">
        <v>148</v>
      </c>
      <c r="E348" s="65">
        <v>4</v>
      </c>
      <c r="F348" s="35">
        <v>1</v>
      </c>
      <c r="G348" s="35">
        <f t="shared" si="1385"/>
        <v>1</v>
      </c>
      <c r="H348" s="35">
        <v>1</v>
      </c>
      <c r="I348" s="35">
        <v>1</v>
      </c>
      <c r="J348" s="35">
        <v>1</v>
      </c>
      <c r="K348" s="35">
        <v>1</v>
      </c>
      <c r="L348" s="35">
        <v>3</v>
      </c>
      <c r="M348" s="35" t="s">
        <v>136</v>
      </c>
      <c r="N348">
        <f>INDEX($C$2:$C$5,MATCH(E348,$B$2:$B$5,0))</f>
        <v>500</v>
      </c>
      <c r="O348" s="35">
        <v>1</v>
      </c>
      <c r="P348" s="24">
        <f>ROUND(INDEX($C$2:$C$5,MATCH($E348,$B$2:$B$5,0))*$F348/SUMIFS($F:$F,$E:$E,$E348,$B:$B,$B348,O:O,1)*IF(B348=$B$10,0.9,1),0)</f>
        <v>250</v>
      </c>
      <c r="Q348" s="24">
        <f t="shared" ref="Q348:U348" si="1455">IF($L348&lt;=Q$8,1,0)</f>
        <v>0</v>
      </c>
      <c r="R348" s="24">
        <f>ROUND(INDEX($C$2:$C$5,MATCH($E348,$B$2:$B$5,0))*$I348/SUMIFS($I:$I,$E:$E,$E348,$B:$B,$B348,Q:Q,1)*IF(B348=$B$10,0.9,1),0)</f>
        <v>500</v>
      </c>
      <c r="S348" s="24">
        <f t="shared" si="1455"/>
        <v>0</v>
      </c>
      <c r="T348" s="24">
        <f>ROUND(INDEX($C$2:$C$5,MATCH($E348,$B$2:$B$5,0))*$J348/SUMIFS($J:$J,$E:$E,$E348,$B:$B,$B348,S:S,1)*IF(B348=$B$10,0.9,1),0)</f>
        <v>500</v>
      </c>
      <c r="U348" s="24">
        <f t="shared" si="1455"/>
        <v>0</v>
      </c>
      <c r="V348" s="24">
        <f>ROUND(INDEX($C$2:$C$5,MATCH($E348,$B$2:$B$5,0))*$K348/SUMIFS($K:$K,$E:$E,$E348,$B:$B,$B348,U:U,1)*IF(B348=$B$10,0.9,1),0)</f>
        <v>500</v>
      </c>
      <c r="W348" s="24">
        <f t="shared" ref="W348:AA348" si="1456">IF($L348&lt;=W$8,1,0)</f>
        <v>0</v>
      </c>
      <c r="X348" s="24">
        <f>ROUND(INDEX($C$2:$C$5,MATCH($E348,$B$2:$B$5,0))*$F348/SUMIFS($F:$F,$E:$E,$E348,$B:$B,$B348,W:W,1)*IF(B348=$B$10,0.9,1),0)</f>
        <v>500</v>
      </c>
      <c r="Y348" s="24">
        <f t="shared" si="1456"/>
        <v>0</v>
      </c>
      <c r="Z348" s="24">
        <f>ROUND(INDEX($C$2:$C$5,MATCH($E348,$B$2:$B$5,0))*$G348/SUMIFS($G:$G,$E:$E,$E348,$B:$B,$B348,Y:Y,1)*IF(B348=$B$10,0.9,1),0)</f>
        <v>500</v>
      </c>
      <c r="AA348" s="24">
        <f t="shared" si="1456"/>
        <v>0</v>
      </c>
      <c r="AB348" s="24">
        <f>ROUND(INDEX($C$2:$C$5,MATCH($E348,$B$2:$B$5,0))*$H348/SUMIFS($H:$H,$E:$E,$E348,$B:$B,$B348,AA:AA,1)*IF(B348=$B$10,0.9,1),0)</f>
        <v>500</v>
      </c>
      <c r="AC348" s="24">
        <f t="shared" ref="AC348:AG348" si="1457">IF($L348&lt;=AC$8,1,0)</f>
        <v>1</v>
      </c>
      <c r="AD348" s="24">
        <f>ROUND(INDEX($C$2:$C$5,MATCH($E348,$B$2:$B$5,0))*$F348/SUMIFS($F:$F,$E:$E,$E348,$B:$B,$B348,AC:AC,1)*IF(B348=$B$10,0.9,1),0)</f>
        <v>250</v>
      </c>
      <c r="AE348" s="24">
        <f t="shared" si="1457"/>
        <v>1</v>
      </c>
      <c r="AF348" s="24">
        <f>ROUND(INDEX($C$2:$C$5,MATCH($E348,$B$2:$B$5,0))*$G348/SUMIFS($G:$G,$E:$E,$E348,$B:$B,$B348,AE:AE,1)*IF(B348=$B$10,0.9,1),0)</f>
        <v>250</v>
      </c>
      <c r="AG348" s="24">
        <f t="shared" si="1457"/>
        <v>1</v>
      </c>
      <c r="AH348" s="24">
        <f>ROUND(INDEX($C$2:$C$5,MATCH($E348,$B$2:$B$5,0))*$H348/SUMIFS($H:$H,$E:$E,$E348,$B:$B,$B348,AG:AG,1)*IF(B348=$B$10,0.9,1),0)</f>
        <v>250</v>
      </c>
      <c r="AI348" s="24">
        <f t="shared" ref="AI348:AM348" si="1458">IF($L348&lt;=AI$8,1,0)</f>
        <v>1</v>
      </c>
      <c r="AJ348" s="24">
        <f>ROUND(INDEX($C$2:$C$5,MATCH($E348,$B$2:$B$5,0))*$F348/SUMIFS($F:$F,$E:$E,$E348,$B:$B,$B348,AI:AI,1)*IF(B348=$B$10,0.9,1),0)</f>
        <v>250</v>
      </c>
      <c r="AK348" s="24">
        <f t="shared" si="1458"/>
        <v>1</v>
      </c>
      <c r="AL348" s="24">
        <f>ROUND(INDEX($C$2:$C$5,MATCH($E348,$B$2:$B$5,0))*$G348/SUMIFS($G:$G,$E:$E,$E348,$B:$B,$B348,AK:AK,1)*IF(B348=$B$10,0.9,1),0)</f>
        <v>250</v>
      </c>
      <c r="AM348" s="24">
        <f t="shared" si="1458"/>
        <v>1</v>
      </c>
      <c r="AN348" s="24">
        <f>ROUND(INDEX($C$2:$C$5,MATCH($E348,$B$2:$B$5,0))*$H348/SUMIFS($H:$H,$E:$E,$E348,$B:$B,$B348,AM:AM,1)*IF(B348=$B$10,0.9,1),0)</f>
        <v>250</v>
      </c>
      <c r="AX348" s="4" t="str">
        <f t="shared" si="1372"/>
        <v>1,250</v>
      </c>
      <c r="AY348" s="4" t="str">
        <f t="shared" si="1373"/>
        <v>0,500</v>
      </c>
      <c r="AZ348" s="4" t="str">
        <f t="shared" si="1374"/>
        <v>0,500</v>
      </c>
      <c r="BA348" s="4" t="str">
        <f t="shared" si="1375"/>
        <v>0,500</v>
      </c>
      <c r="BB348" s="4" t="str">
        <f t="shared" si="1376"/>
        <v>0,500</v>
      </c>
      <c r="BC348" s="4" t="str">
        <f t="shared" si="1377"/>
        <v>0,500</v>
      </c>
      <c r="BD348" s="4" t="str">
        <f t="shared" si="1378"/>
        <v>0,500</v>
      </c>
      <c r="BE348" s="4" t="str">
        <f t="shared" si="1379"/>
        <v>1,250</v>
      </c>
      <c r="BF348" s="4" t="str">
        <f t="shared" si="1380"/>
        <v>1,250</v>
      </c>
      <c r="BG348" s="4" t="str">
        <f t="shared" si="1381"/>
        <v>1,250</v>
      </c>
      <c r="BH348" s="4" t="str">
        <f t="shared" si="1382"/>
        <v>1,250</v>
      </c>
      <c r="BI348" s="4" t="str">
        <f t="shared" si="1383"/>
        <v>1,250</v>
      </c>
      <c r="BJ348" s="4" t="str">
        <f t="shared" si="1384"/>
        <v>1,250</v>
      </c>
    </row>
    <row r="349" s="36" customFormat="1" customHeight="1" spans="1:62">
      <c r="A349" s="68">
        <f t="shared" si="1450"/>
        <v>2052</v>
      </c>
      <c r="B349" s="74" t="s">
        <v>144</v>
      </c>
      <c r="C349" s="70"/>
      <c r="D349" s="48" t="s">
        <v>149</v>
      </c>
      <c r="E349" s="71">
        <v>4</v>
      </c>
      <c r="F349" s="72">
        <v>1</v>
      </c>
      <c r="G349" s="72">
        <f t="shared" si="1385"/>
        <v>1</v>
      </c>
      <c r="H349" s="72">
        <v>1</v>
      </c>
      <c r="I349" s="72">
        <v>1</v>
      </c>
      <c r="J349" s="72">
        <v>1</v>
      </c>
      <c r="K349" s="72">
        <v>1</v>
      </c>
      <c r="L349" s="72">
        <v>1</v>
      </c>
      <c r="M349" s="72"/>
      <c r="N349" s="36">
        <f>INDEX($C$2:$C$5,MATCH(E349,$B$2:$B$5,0))</f>
        <v>500</v>
      </c>
      <c r="O349" s="72">
        <v>1</v>
      </c>
      <c r="P349" s="79">
        <f>ROUND(INDEX($C$2:$C$5,MATCH($E349,$B$2:$B$5,0))*$F349/SUMIFS($F:$F,$E:$E,$E349,$B:$B,$B349,O:O,1)*IF(B349=$B$10,0.9,1),0)</f>
        <v>250</v>
      </c>
      <c r="Q349" s="79">
        <f t="shared" ref="Q349:U349" si="1459">IF($L349&lt;=Q$8,1,0)</f>
        <v>1</v>
      </c>
      <c r="R349" s="79">
        <f>ROUND(INDEX($C$2:$C$5,MATCH($E349,$B$2:$B$5,0))*$I349/SUMIFS($I:$I,$E:$E,$E349,$B:$B,$B349,Q:Q,1)*IF(B349=$B$10,0.9,1),0)</f>
        <v>500</v>
      </c>
      <c r="S349" s="79">
        <f t="shared" si="1459"/>
        <v>1</v>
      </c>
      <c r="T349" s="79">
        <f>ROUND(INDEX($C$2:$C$5,MATCH($E349,$B$2:$B$5,0))*$J349/SUMIFS($J:$J,$E:$E,$E349,$B:$B,$B349,S:S,1)*IF(B349=$B$10,0.9,1),0)</f>
        <v>500</v>
      </c>
      <c r="U349" s="79">
        <f t="shared" si="1459"/>
        <v>1</v>
      </c>
      <c r="V349" s="79">
        <f>ROUND(INDEX($C$2:$C$5,MATCH($E349,$B$2:$B$5,0))*$K349/SUMIFS($K:$K,$E:$E,$E349,$B:$B,$B349,U:U,1)*IF(B349=$B$10,0.9,1),0)</f>
        <v>500</v>
      </c>
      <c r="W349" s="79">
        <f t="shared" ref="W349:AA349" si="1460">IF($L349&lt;=W$8,1,0)</f>
        <v>1</v>
      </c>
      <c r="X349" s="79">
        <f>ROUND(INDEX($C$2:$C$5,MATCH($E349,$B$2:$B$5,0))*$F349/SUMIFS($F:$F,$E:$E,$E349,$B:$B,$B349,W:W,1)*IF(B349=$B$10,0.9,1),0)</f>
        <v>500</v>
      </c>
      <c r="Y349" s="79">
        <f t="shared" si="1460"/>
        <v>1</v>
      </c>
      <c r="Z349" s="79">
        <f>ROUND(INDEX($C$2:$C$5,MATCH($E349,$B$2:$B$5,0))*$G349/SUMIFS($G:$G,$E:$E,$E349,$B:$B,$B349,Y:Y,1)*IF(B349=$B$10,0.9,1),0)</f>
        <v>500</v>
      </c>
      <c r="AA349" s="79">
        <f t="shared" si="1460"/>
        <v>1</v>
      </c>
      <c r="AB349" s="79">
        <f>ROUND(INDEX($C$2:$C$5,MATCH($E349,$B$2:$B$5,0))*$H349/SUMIFS($H:$H,$E:$E,$E349,$B:$B,$B349,AA:AA,1)*IF(B349=$B$10,0.9,1),0)</f>
        <v>500</v>
      </c>
      <c r="AC349" s="79">
        <f t="shared" ref="AC349:AG349" si="1461">IF($L349&lt;=AC$8,1,0)</f>
        <v>1</v>
      </c>
      <c r="AD349" s="79">
        <f>ROUND(INDEX($C$2:$C$5,MATCH($E349,$B$2:$B$5,0))*$F349/SUMIFS($F:$F,$E:$E,$E349,$B:$B,$B349,AC:AC,1)*IF(B349=$B$10,0.9,1),0)</f>
        <v>250</v>
      </c>
      <c r="AE349" s="79">
        <f t="shared" si="1461"/>
        <v>1</v>
      </c>
      <c r="AF349" s="79">
        <f>ROUND(INDEX($C$2:$C$5,MATCH($E349,$B$2:$B$5,0))*$G349/SUMIFS($G:$G,$E:$E,$E349,$B:$B,$B349,AE:AE,1)*IF(B349=$B$10,0.9,1),0)</f>
        <v>250</v>
      </c>
      <c r="AG349" s="79">
        <f t="shared" si="1461"/>
        <v>1</v>
      </c>
      <c r="AH349" s="79">
        <f>ROUND(INDEX($C$2:$C$5,MATCH($E349,$B$2:$B$5,0))*$H349/SUMIFS($H:$H,$E:$E,$E349,$B:$B,$B349,AG:AG,1)*IF(B349=$B$10,0.9,1),0)</f>
        <v>250</v>
      </c>
      <c r="AI349" s="79">
        <f t="shared" ref="AI349:AM349" si="1462">IF($L349&lt;=AI$8,1,0)</f>
        <v>1</v>
      </c>
      <c r="AJ349" s="79">
        <f>ROUND(INDEX($C$2:$C$5,MATCH($E349,$B$2:$B$5,0))*$F349/SUMIFS($F:$F,$E:$E,$E349,$B:$B,$B349,AI:AI,1)*IF(B349=$B$10,0.9,1),0)</f>
        <v>250</v>
      </c>
      <c r="AK349" s="79">
        <f t="shared" si="1462"/>
        <v>1</v>
      </c>
      <c r="AL349" s="79">
        <f>ROUND(INDEX($C$2:$C$5,MATCH($E349,$B$2:$B$5,0))*$G349/SUMIFS($G:$G,$E:$E,$E349,$B:$B,$B349,AK:AK,1)*IF(B349=$B$10,0.9,1),0)</f>
        <v>250</v>
      </c>
      <c r="AM349" s="79">
        <f t="shared" si="1462"/>
        <v>1</v>
      </c>
      <c r="AN349" s="79">
        <f>ROUND(INDEX($C$2:$C$5,MATCH($E349,$B$2:$B$5,0))*$H349/SUMIFS($H:$H,$E:$E,$E349,$B:$B,$B349,AM:AM,1)*IF(B349=$B$10,0.9,1),0)</f>
        <v>250</v>
      </c>
      <c r="AX349" s="81" t="str">
        <f t="shared" si="1372"/>
        <v>1,250</v>
      </c>
      <c r="AY349" s="81" t="str">
        <f t="shared" si="1373"/>
        <v>1,500</v>
      </c>
      <c r="AZ349" s="81" t="str">
        <f t="shared" si="1374"/>
        <v>1,500</v>
      </c>
      <c r="BA349" s="81" t="str">
        <f t="shared" si="1375"/>
        <v>1,500</v>
      </c>
      <c r="BB349" s="81" t="str">
        <f t="shared" si="1376"/>
        <v>1,500</v>
      </c>
      <c r="BC349" s="81" t="str">
        <f t="shared" si="1377"/>
        <v>1,500</v>
      </c>
      <c r="BD349" s="81" t="str">
        <f t="shared" si="1378"/>
        <v>1,500</v>
      </c>
      <c r="BE349" s="81" t="str">
        <f t="shared" si="1379"/>
        <v>1,250</v>
      </c>
      <c r="BF349" s="81" t="str">
        <f t="shared" si="1380"/>
        <v>1,250</v>
      </c>
      <c r="BG349" s="81" t="str">
        <f t="shared" si="1381"/>
        <v>1,250</v>
      </c>
      <c r="BH349" s="81" t="str">
        <f t="shared" si="1382"/>
        <v>1,250</v>
      </c>
      <c r="BI349" s="81" t="str">
        <f t="shared" si="1383"/>
        <v>1,250</v>
      </c>
      <c r="BJ349" s="81" t="str">
        <f t="shared" si="1384"/>
        <v>1,250</v>
      </c>
    </row>
  </sheetData>
  <conditionalFormatting sqref="E282:E298">
    <cfRule type="cellIs" dxfId="0" priority="16" operator="equal">
      <formula>1</formula>
    </cfRule>
    <cfRule type="cellIs" dxfId="1" priority="15" operator="equal">
      <formula>2</formula>
    </cfRule>
    <cfRule type="cellIs" dxfId="2" priority="14" operator="equal">
      <formula>3</formula>
    </cfRule>
    <cfRule type="cellIs" dxfId="3" priority="13" operator="equal">
      <formula>4</formula>
    </cfRule>
  </conditionalFormatting>
  <conditionalFormatting sqref="E299:E315">
    <cfRule type="cellIs" dxfId="0" priority="12" operator="equal">
      <formula>1</formula>
    </cfRule>
    <cfRule type="cellIs" dxfId="1" priority="11" operator="equal">
      <formula>2</formula>
    </cfRule>
    <cfRule type="cellIs" dxfId="2" priority="10" operator="equal">
      <formula>3</formula>
    </cfRule>
    <cfRule type="cellIs" dxfId="3" priority="9" operator="equal">
      <formula>4</formula>
    </cfRule>
  </conditionalFormatting>
  <conditionalFormatting sqref="E316:E332">
    <cfRule type="cellIs" dxfId="0" priority="8" operator="equal">
      <formula>1</formula>
    </cfRule>
    <cfRule type="cellIs" dxfId="1" priority="7" operator="equal">
      <formula>2</formula>
    </cfRule>
    <cfRule type="cellIs" dxfId="2" priority="6" operator="equal">
      <formula>3</formula>
    </cfRule>
    <cfRule type="cellIs" dxfId="3" priority="5" operator="equal">
      <formula>4</formula>
    </cfRule>
  </conditionalFormatting>
  <conditionalFormatting sqref="E333:E349">
    <cfRule type="cellIs" dxfId="0" priority="4" operator="equal">
      <formula>1</formula>
    </cfRule>
    <cfRule type="cellIs" dxfId="1" priority="3" operator="equal">
      <formula>2</formula>
    </cfRule>
    <cfRule type="cellIs" dxfId="2" priority="2" operator="equal">
      <formula>3</formula>
    </cfRule>
    <cfRule type="cellIs" dxfId="3" priority="1" operator="equal">
      <formula>4</formula>
    </cfRule>
  </conditionalFormatting>
  <conditionalFormatting sqref="E1:E281 E350:E1048576">
    <cfRule type="cellIs" dxfId="0" priority="20" operator="equal">
      <formula>1</formula>
    </cfRule>
    <cfRule type="cellIs" dxfId="1" priority="19" operator="equal">
      <formula>2</formula>
    </cfRule>
    <cfRule type="cellIs" dxfId="2" priority="18" operator="equal">
      <formula>3</formula>
    </cfRule>
    <cfRule type="cellIs" dxfId="3" priority="17" operator="equal">
      <formula>4</formula>
    </cfRule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H14" sqref="H14"/>
    </sheetView>
  </sheetViews>
  <sheetFormatPr defaultColWidth="8.88888888888889" defaultRowHeight="13.8"/>
  <cols>
    <col min="9" max="9" width="17.5555555555556" customWidth="1"/>
  </cols>
  <sheetData>
    <row r="1" ht="25.2" spans="1:1">
      <c r="A1" s="17" t="s">
        <v>481</v>
      </c>
    </row>
    <row r="2" spans="1:8">
      <c r="A2" s="18" t="s">
        <v>432</v>
      </c>
      <c r="E2">
        <v>1.2</v>
      </c>
      <c r="H2">
        <v>2.5</v>
      </c>
    </row>
    <row r="3" ht="16.2" spans="1:9">
      <c r="A3" s="5" t="s">
        <v>482</v>
      </c>
      <c r="B3" s="5" t="s">
        <v>483</v>
      </c>
      <c r="C3" s="5" t="s">
        <v>484</v>
      </c>
      <c r="D3" s="5" t="s">
        <v>485</v>
      </c>
      <c r="E3" s="5" t="s">
        <v>486</v>
      </c>
      <c r="F3" s="5" t="s">
        <v>487</v>
      </c>
      <c r="G3" s="5" t="s">
        <v>488</v>
      </c>
      <c r="H3" s="5" t="s">
        <v>489</v>
      </c>
      <c r="I3" s="5" t="s">
        <v>490</v>
      </c>
    </row>
    <row r="4" spans="1:4">
      <c r="A4" s="18" t="s">
        <v>440</v>
      </c>
      <c r="B4">
        <v>67</v>
      </c>
      <c r="C4" s="19">
        <f>B4/SUM($B$4:$B$7)</f>
        <v>0.229452054794521</v>
      </c>
      <c r="D4">
        <f t="shared" ref="D4:D7" si="0">1/C4</f>
        <v>4.35820895522388</v>
      </c>
    </row>
    <row r="5" spans="1:11">
      <c r="A5" s="18" t="s">
        <v>446</v>
      </c>
      <c r="B5">
        <v>200</v>
      </c>
      <c r="C5" s="19">
        <f>B5/SUM($B$4:$B$7)</f>
        <v>0.684931506849315</v>
      </c>
      <c r="D5">
        <f t="shared" si="0"/>
        <v>1.46</v>
      </c>
      <c r="K5" s="18" t="s">
        <v>491</v>
      </c>
    </row>
    <row r="6" spans="1:11">
      <c r="A6" s="18" t="s">
        <v>451</v>
      </c>
      <c r="B6">
        <v>20</v>
      </c>
      <c r="C6" s="19">
        <f>B6/SUM($B$4:$B$7)</f>
        <v>0.0684931506849315</v>
      </c>
      <c r="D6">
        <f t="shared" si="0"/>
        <v>14.6</v>
      </c>
      <c r="E6">
        <v>18</v>
      </c>
      <c r="F6">
        <v>2</v>
      </c>
      <c r="G6">
        <v>1</v>
      </c>
      <c r="H6">
        <v>36</v>
      </c>
      <c r="I6" s="22">
        <v>12.88</v>
      </c>
      <c r="J6" s="18" t="s">
        <v>492</v>
      </c>
      <c r="K6" s="18" t="s">
        <v>493</v>
      </c>
    </row>
    <row r="7" spans="1:11">
      <c r="A7" s="18" t="s">
        <v>456</v>
      </c>
      <c r="B7">
        <v>5</v>
      </c>
      <c r="C7" s="19">
        <f>B7/SUM($B$4:$B$7)</f>
        <v>0.0171232876712329</v>
      </c>
      <c r="D7">
        <f t="shared" si="0"/>
        <v>58.4</v>
      </c>
      <c r="E7">
        <v>70</v>
      </c>
      <c r="F7">
        <v>0.15</v>
      </c>
      <c r="G7">
        <v>5</v>
      </c>
      <c r="H7">
        <v>146</v>
      </c>
      <c r="I7" s="22">
        <v>50.99</v>
      </c>
      <c r="J7" s="18" t="s">
        <v>494</v>
      </c>
      <c r="K7" s="18" t="s">
        <v>495</v>
      </c>
    </row>
    <row r="8" spans="1:1">
      <c r="A8" s="18"/>
    </row>
    <row r="9" spans="1:1">
      <c r="A9" s="18" t="s">
        <v>438</v>
      </c>
    </row>
    <row r="10" ht="16.2" spans="1:9">
      <c r="A10" s="5" t="s">
        <v>482</v>
      </c>
      <c r="B10" s="5" t="s">
        <v>496</v>
      </c>
      <c r="C10" s="5" t="s">
        <v>484</v>
      </c>
      <c r="D10" s="5" t="s">
        <v>485</v>
      </c>
      <c r="E10" s="5" t="s">
        <v>486</v>
      </c>
      <c r="F10" s="5" t="s">
        <v>487</v>
      </c>
      <c r="G10" s="5" t="s">
        <v>488</v>
      </c>
      <c r="H10" s="5" t="s">
        <v>489</v>
      </c>
      <c r="I10" s="5" t="s">
        <v>490</v>
      </c>
    </row>
    <row r="11" spans="1:4">
      <c r="A11" s="18" t="s">
        <v>440</v>
      </c>
      <c r="B11">
        <v>7</v>
      </c>
      <c r="C11" s="19">
        <f t="shared" ref="C11:C14" si="1">B11/SUM($B$11:$B$14)</f>
        <v>0.14</v>
      </c>
      <c r="D11">
        <f t="shared" ref="D11:D14" si="2">1/C11</f>
        <v>7.14285714285714</v>
      </c>
    </row>
    <row r="12" spans="1:11">
      <c r="A12" s="18" t="s">
        <v>446</v>
      </c>
      <c r="B12">
        <v>21</v>
      </c>
      <c r="C12" s="19">
        <f t="shared" si="1"/>
        <v>0.42</v>
      </c>
      <c r="D12">
        <f t="shared" si="2"/>
        <v>2.38095238095238</v>
      </c>
      <c r="K12" s="18" t="s">
        <v>497</v>
      </c>
    </row>
    <row r="13" spans="1:11">
      <c r="A13" s="18" t="s">
        <v>451</v>
      </c>
      <c r="B13">
        <v>17</v>
      </c>
      <c r="C13" s="19">
        <f t="shared" si="1"/>
        <v>0.34</v>
      </c>
      <c r="D13">
        <f t="shared" si="2"/>
        <v>2.94117647058823</v>
      </c>
      <c r="E13">
        <v>4</v>
      </c>
      <c r="F13">
        <v>8</v>
      </c>
      <c r="G13">
        <v>0</v>
      </c>
      <c r="H13">
        <v>8</v>
      </c>
      <c r="I13" s="22">
        <v>2.76</v>
      </c>
      <c r="J13" s="18" t="s">
        <v>498</v>
      </c>
      <c r="K13" s="18" t="s">
        <v>499</v>
      </c>
    </row>
    <row r="14" spans="1:11">
      <c r="A14" s="18" t="s">
        <v>456</v>
      </c>
      <c r="B14">
        <v>5</v>
      </c>
      <c r="C14" s="19">
        <f t="shared" si="1"/>
        <v>0.1</v>
      </c>
      <c r="D14">
        <f t="shared" si="2"/>
        <v>10</v>
      </c>
      <c r="E14">
        <v>12</v>
      </c>
      <c r="F14">
        <v>1</v>
      </c>
      <c r="G14">
        <v>0</v>
      </c>
      <c r="H14">
        <v>25</v>
      </c>
      <c r="I14" s="22">
        <v>8.75</v>
      </c>
      <c r="J14" s="18" t="s">
        <v>500</v>
      </c>
      <c r="K14" s="18" t="s">
        <v>501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10"/>
  <sheetViews>
    <sheetView topLeftCell="A21" workbookViewId="0">
      <selection activeCell="F22" sqref="F22"/>
    </sheetView>
  </sheetViews>
  <sheetFormatPr defaultColWidth="8.88888888888889" defaultRowHeight="13.8"/>
  <cols>
    <col min="1" max="1" width="9.66666666666667" style="4"/>
    <col min="2" max="2" width="7" style="4" customWidth="1"/>
    <col min="3" max="4" width="7.88888888888889" style="4" customWidth="1"/>
    <col min="5" max="5" width="8.11111111111111" style="4" customWidth="1"/>
    <col min="6" max="6" width="9.11111111111111" style="4" customWidth="1"/>
    <col min="7" max="7" width="9.44444444444444" style="4" customWidth="1"/>
    <col min="8" max="8" width="8.44444444444444" style="4" customWidth="1"/>
    <col min="9" max="9" width="9.77777777777778" style="4" customWidth="1"/>
    <col min="10" max="10" width="9.88888888888889" style="4" customWidth="1"/>
    <col min="11" max="11" width="9" style="4" customWidth="1"/>
    <col min="12" max="12" width="10.1111111111111" style="4" customWidth="1"/>
    <col min="13" max="13" width="9.88888888888889" style="4" customWidth="1"/>
    <col min="14" max="22" width="10.7777777777778" style="4" customWidth="1"/>
    <col min="23" max="28" width="10.7777777777778" customWidth="1"/>
    <col min="29" max="29" width="12.8888888888889"/>
    <col min="32" max="32" width="8.88888888888889" style="4"/>
    <col min="33" max="33" width="13.4444444444444" style="4" customWidth="1"/>
    <col min="34" max="34" width="12.8888888888889" style="4"/>
  </cols>
  <sheetData>
    <row r="1" ht="16.2" spans="1:30">
      <c r="A1" s="2" t="s">
        <v>0</v>
      </c>
      <c r="B1" s="2" t="s">
        <v>502</v>
      </c>
      <c r="C1" s="2" t="s">
        <v>503</v>
      </c>
      <c r="D1" s="2" t="s">
        <v>504</v>
      </c>
      <c r="E1" s="2" t="s">
        <v>505</v>
      </c>
      <c r="F1" s="2" t="s">
        <v>506</v>
      </c>
      <c r="G1" s="2" t="s">
        <v>507</v>
      </c>
      <c r="H1" s="2" t="s">
        <v>508</v>
      </c>
      <c r="I1" s="2" t="s">
        <v>509</v>
      </c>
      <c r="J1" s="2" t="s">
        <v>510</v>
      </c>
      <c r="K1" s="2" t="s">
        <v>511</v>
      </c>
      <c r="L1" s="2" t="s">
        <v>512</v>
      </c>
      <c r="M1" s="2" t="s">
        <v>513</v>
      </c>
      <c r="N1" s="2" t="s">
        <v>514</v>
      </c>
      <c r="O1" s="2" t="s">
        <v>515</v>
      </c>
      <c r="P1" s="2" t="s">
        <v>516</v>
      </c>
      <c r="Q1" s="2" t="s">
        <v>517</v>
      </c>
      <c r="R1" s="2" t="s">
        <v>518</v>
      </c>
      <c r="S1" s="2" t="s">
        <v>519</v>
      </c>
      <c r="T1" s="2" t="s">
        <v>520</v>
      </c>
      <c r="U1" s="2" t="s">
        <v>521</v>
      </c>
      <c r="V1" s="2" t="s">
        <v>522</v>
      </c>
      <c r="X1" t="s">
        <v>523</v>
      </c>
      <c r="Y1">
        <v>25</v>
      </c>
      <c r="AC1" t="s">
        <v>524</v>
      </c>
      <c r="AD1" s="4">
        <v>1.1</v>
      </c>
    </row>
    <row r="2" ht="16.2" spans="1:32">
      <c r="A2" s="2" t="s">
        <v>525</v>
      </c>
      <c r="B2" s="2" t="s">
        <v>525</v>
      </c>
      <c r="C2" s="2" t="s">
        <v>525</v>
      </c>
      <c r="D2" s="2" t="s">
        <v>525</v>
      </c>
      <c r="E2" s="2" t="s">
        <v>525</v>
      </c>
      <c r="F2" s="2" t="s">
        <v>525</v>
      </c>
      <c r="G2" s="2" t="s">
        <v>525</v>
      </c>
      <c r="H2" s="2" t="s">
        <v>525</v>
      </c>
      <c r="I2" s="2" t="s">
        <v>525</v>
      </c>
      <c r="J2" s="2" t="s">
        <v>525</v>
      </c>
      <c r="K2" s="2" t="s">
        <v>525</v>
      </c>
      <c r="L2" s="2" t="s">
        <v>525</v>
      </c>
      <c r="M2" s="2" t="s">
        <v>525</v>
      </c>
      <c r="N2" s="2" t="s">
        <v>525</v>
      </c>
      <c r="O2" s="2" t="s">
        <v>525</v>
      </c>
      <c r="P2" s="2" t="s">
        <v>525</v>
      </c>
      <c r="Q2" s="2" t="s">
        <v>525</v>
      </c>
      <c r="R2" s="2" t="s">
        <v>525</v>
      </c>
      <c r="S2" s="2" t="s">
        <v>525</v>
      </c>
      <c r="T2" s="2" t="s">
        <v>525</v>
      </c>
      <c r="U2" s="2" t="s">
        <v>525</v>
      </c>
      <c r="V2" s="2" t="s">
        <v>525</v>
      </c>
      <c r="X2" t="s">
        <v>526</v>
      </c>
      <c r="Y2">
        <v>1.2</v>
      </c>
      <c r="AF2" s="4" t="s">
        <v>527</v>
      </c>
    </row>
    <row r="3" ht="16.2" spans="1:29">
      <c r="A3" s="2" t="s">
        <v>528</v>
      </c>
      <c r="B3" s="2" t="s">
        <v>529</v>
      </c>
      <c r="C3" s="2" t="s">
        <v>530</v>
      </c>
      <c r="D3" s="2" t="s">
        <v>531</v>
      </c>
      <c r="E3" s="2" t="s">
        <v>532</v>
      </c>
      <c r="F3" s="2" t="s">
        <v>533</v>
      </c>
      <c r="G3" s="2" t="s">
        <v>534</v>
      </c>
      <c r="H3" s="2" t="s">
        <v>535</v>
      </c>
      <c r="I3" s="2" t="s">
        <v>536</v>
      </c>
      <c r="J3" s="2" t="s">
        <v>537</v>
      </c>
      <c r="K3" s="2" t="s">
        <v>538</v>
      </c>
      <c r="L3" s="2" t="s">
        <v>539</v>
      </c>
      <c r="M3" s="2" t="s">
        <v>540</v>
      </c>
      <c r="N3" s="2" t="s">
        <v>541</v>
      </c>
      <c r="O3" s="2" t="s">
        <v>542</v>
      </c>
      <c r="P3" s="2" t="s">
        <v>543</v>
      </c>
      <c r="Q3" s="2" t="s">
        <v>544</v>
      </c>
      <c r="R3" s="2" t="s">
        <v>545</v>
      </c>
      <c r="S3" s="2" t="s">
        <v>546</v>
      </c>
      <c r="T3" s="2" t="s">
        <v>547</v>
      </c>
      <c r="U3" s="2" t="s">
        <v>548</v>
      </c>
      <c r="V3" s="2" t="s">
        <v>549</v>
      </c>
      <c r="W3" s="2" t="s">
        <v>550</v>
      </c>
      <c r="X3" s="2" t="s">
        <v>551</v>
      </c>
      <c r="Y3" s="2" t="s">
        <v>552</v>
      </c>
      <c r="Z3" s="2" t="s">
        <v>553</v>
      </c>
      <c r="AA3" s="2" t="s">
        <v>554</v>
      </c>
      <c r="AB3" s="2" t="s">
        <v>555</v>
      </c>
      <c r="AC3" s="2" t="s">
        <v>556</v>
      </c>
    </row>
    <row r="4" spans="1:34">
      <c r="A4" s="4">
        <v>1</v>
      </c>
      <c r="C4" s="4">
        <f>第1关!AF79</f>
        <v>18</v>
      </c>
      <c r="D4" s="4">
        <f>第2关!AF79</f>
        <v>5</v>
      </c>
      <c r="E4" s="4">
        <f>第3关!AH79</f>
        <v>9</v>
      </c>
      <c r="F4" s="4">
        <f t="shared" ref="E4:V4" si="0">E4</f>
        <v>9</v>
      </c>
      <c r="G4" s="4">
        <f t="shared" si="0"/>
        <v>9</v>
      </c>
      <c r="H4" s="4">
        <f t="shared" si="0"/>
        <v>9</v>
      </c>
      <c r="I4" s="4">
        <f t="shared" si="0"/>
        <v>9</v>
      </c>
      <c r="J4" s="4">
        <f t="shared" si="0"/>
        <v>9</v>
      </c>
      <c r="K4" s="4">
        <f t="shared" si="0"/>
        <v>9</v>
      </c>
      <c r="L4" s="4">
        <f t="shared" si="0"/>
        <v>9</v>
      </c>
      <c r="M4" s="4">
        <f t="shared" si="0"/>
        <v>9</v>
      </c>
      <c r="N4" s="4">
        <f t="shared" si="0"/>
        <v>9</v>
      </c>
      <c r="O4" s="4">
        <f t="shared" si="0"/>
        <v>9</v>
      </c>
      <c r="P4" s="4">
        <f t="shared" ref="P4:V4" si="1">O4</f>
        <v>9</v>
      </c>
      <c r="Q4" s="4">
        <f t="shared" si="1"/>
        <v>9</v>
      </c>
      <c r="R4" s="4">
        <f t="shared" si="1"/>
        <v>9</v>
      </c>
      <c r="S4" s="4">
        <f t="shared" si="1"/>
        <v>9</v>
      </c>
      <c r="T4" s="4">
        <f t="shared" si="1"/>
        <v>9</v>
      </c>
      <c r="U4" s="4">
        <f t="shared" si="1"/>
        <v>9</v>
      </c>
      <c r="V4" s="4">
        <f t="shared" si="1"/>
        <v>9</v>
      </c>
      <c r="W4" s="4">
        <f>副本第1关!AH79</f>
        <v>18</v>
      </c>
      <c r="X4" s="4">
        <f>副本第2关!AH79</f>
        <v>18</v>
      </c>
      <c r="Y4" s="4">
        <f>副本第3关!AH79</f>
        <v>18</v>
      </c>
      <c r="Z4" s="4">
        <f>副本第4关!AH79</f>
        <v>18</v>
      </c>
      <c r="AA4" s="4">
        <f>副本第5关!AH79</f>
        <v>18</v>
      </c>
      <c r="AB4" s="7">
        <f>橙武副本1!AK79</f>
        <v>15</v>
      </c>
      <c r="AC4" s="4">
        <f>ROUND(R4/E4*AD4*0.75,0)</f>
        <v>20</v>
      </c>
      <c r="AD4">
        <f>橙武副本3!AH79</f>
        <v>26</v>
      </c>
      <c r="AF4" s="4">
        <v>21</v>
      </c>
      <c r="AG4" s="4">
        <f>$M$23*$AD$1</f>
        <v>0</v>
      </c>
      <c r="AH4" s="4">
        <f>$AD$1^(AF4-20)</f>
        <v>1.1</v>
      </c>
    </row>
    <row r="5" spans="1:34">
      <c r="A5" s="4">
        <v>2</v>
      </c>
      <c r="C5" s="4">
        <f>IF(第1关!AF80=0,C4,第1关!AF80)</f>
        <v>44</v>
      </c>
      <c r="D5" s="4">
        <f>IF(第2关!AF80=0,D4,第2关!AF80)</f>
        <v>20</v>
      </c>
      <c r="E5" s="4">
        <f>第3关!AH80</f>
        <v>24</v>
      </c>
      <c r="F5" s="4">
        <f t="shared" ref="F5:F13" si="2">E5</f>
        <v>24</v>
      </c>
      <c r="G5" s="4">
        <f t="shared" ref="G5:G13" si="3">F5</f>
        <v>24</v>
      </c>
      <c r="H5" s="4">
        <f t="shared" ref="H5:H13" si="4">G5</f>
        <v>24</v>
      </c>
      <c r="I5" s="4">
        <f t="shared" ref="I5:I13" si="5">H5</f>
        <v>24</v>
      </c>
      <c r="J5" s="4">
        <f t="shared" ref="J5:J13" si="6">I5</f>
        <v>24</v>
      </c>
      <c r="K5" s="4">
        <f t="shared" ref="K5:K13" si="7">J5</f>
        <v>24</v>
      </c>
      <c r="L5" s="4">
        <f t="shared" ref="L5:L13" si="8">K5</f>
        <v>24</v>
      </c>
      <c r="M5" s="4">
        <f t="shared" ref="M5:M13" si="9">L5</f>
        <v>24</v>
      </c>
      <c r="N5" s="4">
        <f>M5</f>
        <v>24</v>
      </c>
      <c r="O5" s="4">
        <f>N5</f>
        <v>24</v>
      </c>
      <c r="P5" s="4">
        <f t="shared" ref="P5:V5" si="10">O5</f>
        <v>24</v>
      </c>
      <c r="Q5" s="4">
        <f t="shared" si="10"/>
        <v>24</v>
      </c>
      <c r="R5" s="4">
        <f t="shared" si="10"/>
        <v>24</v>
      </c>
      <c r="S5" s="4">
        <f t="shared" si="10"/>
        <v>24</v>
      </c>
      <c r="T5" s="4">
        <f t="shared" si="10"/>
        <v>24</v>
      </c>
      <c r="U5" s="4">
        <f t="shared" si="10"/>
        <v>24</v>
      </c>
      <c r="V5" s="4">
        <f t="shared" si="10"/>
        <v>24</v>
      </c>
      <c r="W5" s="4">
        <f>副本第1关!AH80</f>
        <v>37</v>
      </c>
      <c r="X5" s="4">
        <f>副本第2关!AH80</f>
        <v>37</v>
      </c>
      <c r="Y5" s="4">
        <f>副本第3关!AH80</f>
        <v>37</v>
      </c>
      <c r="Z5" s="4">
        <f>副本第4关!AH80</f>
        <v>37</v>
      </c>
      <c r="AA5" s="4">
        <f>副本第5关!AH80</f>
        <v>37</v>
      </c>
      <c r="AB5" s="7">
        <f>橙武副本1!AK80</f>
        <v>35</v>
      </c>
      <c r="AC5" s="4">
        <f t="shared" ref="AC5:AC23" si="11">ROUND(R5/E5*AD5*0.75,0)</f>
        <v>40</v>
      </c>
      <c r="AD5">
        <f>橙武副本3!AH80</f>
        <v>53</v>
      </c>
      <c r="AF5" s="4">
        <v>22</v>
      </c>
      <c r="AG5" s="4">
        <f>ROUND(AG4*$AD$1,0)</f>
        <v>0</v>
      </c>
      <c r="AH5" s="4">
        <f t="shared" ref="AH5:AH36" si="12">$AD$1^(AF5-20)</f>
        <v>1.21</v>
      </c>
    </row>
    <row r="6" spans="1:34">
      <c r="A6" s="4">
        <v>3</v>
      </c>
      <c r="C6" s="4">
        <f>IF(第1关!AF81=0,C5,第1关!AF81)</f>
        <v>88</v>
      </c>
      <c r="D6" s="4">
        <f>IF(第2关!AF81=0,D5,第2关!AF81)</f>
        <v>70</v>
      </c>
      <c r="E6" s="4">
        <f>第3关!AH81</f>
        <v>76</v>
      </c>
      <c r="F6" s="4">
        <f t="shared" si="2"/>
        <v>76</v>
      </c>
      <c r="G6" s="4">
        <f t="shared" si="3"/>
        <v>76</v>
      </c>
      <c r="H6" s="4">
        <f t="shared" si="4"/>
        <v>76</v>
      </c>
      <c r="I6" s="4">
        <f t="shared" si="5"/>
        <v>76</v>
      </c>
      <c r="J6" s="4">
        <f t="shared" si="6"/>
        <v>76</v>
      </c>
      <c r="K6" s="4">
        <f t="shared" si="7"/>
        <v>76</v>
      </c>
      <c r="L6" s="4">
        <f t="shared" si="8"/>
        <v>76</v>
      </c>
      <c r="M6" s="4">
        <f t="shared" si="9"/>
        <v>76</v>
      </c>
      <c r="N6" s="4">
        <f>M6</f>
        <v>76</v>
      </c>
      <c r="O6" s="4">
        <f>N6</f>
        <v>76</v>
      </c>
      <c r="P6" s="4">
        <f t="shared" ref="P6:V6" si="13">O6</f>
        <v>76</v>
      </c>
      <c r="Q6" s="4">
        <f t="shared" si="13"/>
        <v>76</v>
      </c>
      <c r="R6" s="4">
        <f t="shared" si="13"/>
        <v>76</v>
      </c>
      <c r="S6" s="4">
        <f t="shared" si="13"/>
        <v>76</v>
      </c>
      <c r="T6" s="4">
        <f t="shared" si="13"/>
        <v>76</v>
      </c>
      <c r="U6" s="4">
        <f t="shared" si="13"/>
        <v>76</v>
      </c>
      <c r="V6" s="4">
        <f t="shared" si="13"/>
        <v>76</v>
      </c>
      <c r="W6" s="4">
        <f>副本第1关!AH81</f>
        <v>63</v>
      </c>
      <c r="X6" s="4">
        <f>副本第2关!AH81</f>
        <v>63</v>
      </c>
      <c r="Y6" s="4">
        <f>副本第3关!AH81</f>
        <v>63</v>
      </c>
      <c r="Z6" s="4">
        <f>副本第4关!AH81</f>
        <v>63</v>
      </c>
      <c r="AA6" s="4">
        <f>副本第5关!AH81</f>
        <v>63</v>
      </c>
      <c r="AB6" s="7">
        <f>橙武副本1!AK81</f>
        <v>71</v>
      </c>
      <c r="AC6" s="4">
        <f t="shared" si="11"/>
        <v>98</v>
      </c>
      <c r="AD6">
        <f>橙武副本3!AH81</f>
        <v>131</v>
      </c>
      <c r="AF6" s="4">
        <v>23</v>
      </c>
      <c r="AG6" s="4">
        <f t="shared" ref="AG6:AG37" si="14">ROUND(AG5*$AD$1,0)</f>
        <v>0</v>
      </c>
      <c r="AH6" s="4">
        <f t="shared" si="12"/>
        <v>1.331</v>
      </c>
    </row>
    <row r="7" spans="1:34">
      <c r="A7" s="4">
        <v>4</v>
      </c>
      <c r="C7" s="4">
        <f>IF(第1关!AF82=0,C6,第1关!AF82)</f>
        <v>58</v>
      </c>
      <c r="D7" s="4">
        <f>IF(第2关!AF82=0,D6,第2关!AF82)</f>
        <v>102</v>
      </c>
      <c r="E7" s="4">
        <f>第3关!AH82</f>
        <v>64</v>
      </c>
      <c r="F7" s="4">
        <f t="shared" si="2"/>
        <v>64</v>
      </c>
      <c r="G7" s="4">
        <f t="shared" si="3"/>
        <v>64</v>
      </c>
      <c r="H7" s="4">
        <f t="shared" si="4"/>
        <v>64</v>
      </c>
      <c r="I7" s="4">
        <f t="shared" si="5"/>
        <v>64</v>
      </c>
      <c r="J7" s="4">
        <f t="shared" si="6"/>
        <v>64</v>
      </c>
      <c r="K7" s="4">
        <f t="shared" si="7"/>
        <v>64</v>
      </c>
      <c r="L7" s="4">
        <f t="shared" si="8"/>
        <v>64</v>
      </c>
      <c r="M7" s="4">
        <f t="shared" si="9"/>
        <v>64</v>
      </c>
      <c r="N7" s="4">
        <f t="shared" ref="N7:V7" si="15">M7</f>
        <v>64</v>
      </c>
      <c r="O7" s="4">
        <f t="shared" si="15"/>
        <v>64</v>
      </c>
      <c r="P7" s="4">
        <f t="shared" si="15"/>
        <v>64</v>
      </c>
      <c r="Q7" s="4">
        <f t="shared" si="15"/>
        <v>64</v>
      </c>
      <c r="R7" s="4">
        <f t="shared" si="15"/>
        <v>64</v>
      </c>
      <c r="S7" s="4">
        <f t="shared" si="15"/>
        <v>64</v>
      </c>
      <c r="T7" s="4">
        <f t="shared" si="15"/>
        <v>64</v>
      </c>
      <c r="U7" s="4">
        <f t="shared" si="15"/>
        <v>64</v>
      </c>
      <c r="V7" s="4">
        <f t="shared" si="15"/>
        <v>64</v>
      </c>
      <c r="W7" s="4">
        <f>副本第1关!AH82</f>
        <v>74</v>
      </c>
      <c r="X7" s="4">
        <f>副本第2关!AH82</f>
        <v>74</v>
      </c>
      <c r="Y7" s="4">
        <f>副本第3关!AH82</f>
        <v>74</v>
      </c>
      <c r="Z7" s="4">
        <f>副本第4关!AH82</f>
        <v>74</v>
      </c>
      <c r="AA7" s="4">
        <f>副本第5关!AH82</f>
        <v>74</v>
      </c>
      <c r="AB7" s="7">
        <f>橙武副本1!AK82</f>
        <v>143</v>
      </c>
      <c r="AC7" s="4">
        <f t="shared" si="11"/>
        <v>178</v>
      </c>
      <c r="AD7">
        <f>橙武副本3!AH82</f>
        <v>237</v>
      </c>
      <c r="AF7" s="4">
        <v>24</v>
      </c>
      <c r="AG7" s="4">
        <f t="shared" si="14"/>
        <v>0</v>
      </c>
      <c r="AH7" s="4">
        <f t="shared" si="12"/>
        <v>1.4641</v>
      </c>
    </row>
    <row r="8" spans="1:34">
      <c r="A8" s="4">
        <v>5</v>
      </c>
      <c r="C8" s="4">
        <f>IF(第1关!AF83=0,C7,第1关!AF83)</f>
        <v>140</v>
      </c>
      <c r="D8" s="4">
        <f>IF(第2关!AF83=0,D7,第2关!AF83)</f>
        <v>106</v>
      </c>
      <c r="E8" s="4">
        <f>第3关!AH83</f>
        <v>228</v>
      </c>
      <c r="F8" s="4">
        <f t="shared" si="2"/>
        <v>228</v>
      </c>
      <c r="G8" s="4">
        <f t="shared" si="3"/>
        <v>228</v>
      </c>
      <c r="H8" s="4">
        <f t="shared" si="4"/>
        <v>228</v>
      </c>
      <c r="I8" s="4">
        <f t="shared" si="5"/>
        <v>228</v>
      </c>
      <c r="J8" s="4">
        <f t="shared" si="6"/>
        <v>228</v>
      </c>
      <c r="K8" s="4">
        <f t="shared" si="7"/>
        <v>228</v>
      </c>
      <c r="L8" s="4">
        <f t="shared" si="8"/>
        <v>228</v>
      </c>
      <c r="M8" s="4">
        <f t="shared" si="9"/>
        <v>228</v>
      </c>
      <c r="N8" s="32">
        <f>ROUND(M8*$Y$2,0)</f>
        <v>274</v>
      </c>
      <c r="O8" s="32">
        <f>ROUND(N8*$Y$2,0)</f>
        <v>329</v>
      </c>
      <c r="P8" s="32">
        <f>ROUND(O8*$Y$2,0)</f>
        <v>395</v>
      </c>
      <c r="Q8" s="32">
        <f t="shared" ref="Q8:V8" si="16">ROUND(P8*$Y$2,0)</f>
        <v>474</v>
      </c>
      <c r="R8" s="32">
        <f t="shared" si="16"/>
        <v>569</v>
      </c>
      <c r="S8" s="32">
        <f t="shared" si="16"/>
        <v>683</v>
      </c>
      <c r="T8" s="32">
        <f t="shared" si="16"/>
        <v>820</v>
      </c>
      <c r="U8" s="32">
        <f t="shared" si="16"/>
        <v>984</v>
      </c>
      <c r="V8" s="32">
        <f t="shared" si="16"/>
        <v>1181</v>
      </c>
      <c r="W8" s="4">
        <f>副本第1关!AH83</f>
        <v>53</v>
      </c>
      <c r="X8" s="4">
        <f>副本第2关!AH83</f>
        <v>53</v>
      </c>
      <c r="Y8" s="4">
        <f>副本第3关!AH83</f>
        <v>53</v>
      </c>
      <c r="Z8" s="4">
        <f>副本第4关!AH83</f>
        <v>53</v>
      </c>
      <c r="AA8" s="4">
        <f>副本第5关!AH83</f>
        <v>53</v>
      </c>
      <c r="AB8" s="7">
        <f>橙武副本1!AK83</f>
        <v>240</v>
      </c>
      <c r="AC8" s="4">
        <f t="shared" si="11"/>
        <v>382</v>
      </c>
      <c r="AD8">
        <f>橙武副本3!AH83</f>
        <v>204</v>
      </c>
      <c r="AF8" s="4">
        <v>25</v>
      </c>
      <c r="AG8" s="4">
        <f t="shared" si="14"/>
        <v>0</v>
      </c>
      <c r="AH8" s="4">
        <f t="shared" si="12"/>
        <v>1.61051</v>
      </c>
    </row>
    <row r="9" spans="1:34">
      <c r="A9" s="4">
        <v>6</v>
      </c>
      <c r="C9" s="4">
        <f>IF(第1关!AF84=0,C8,第1关!AF84)</f>
        <v>198</v>
      </c>
      <c r="D9" s="4">
        <f>IF(第2关!AF84=0,D8,第2关!AF84)</f>
        <v>175</v>
      </c>
      <c r="E9" s="4">
        <f>第3关!AH84</f>
        <v>324</v>
      </c>
      <c r="F9" s="4">
        <f t="shared" si="2"/>
        <v>324</v>
      </c>
      <c r="G9" s="4">
        <f t="shared" si="3"/>
        <v>324</v>
      </c>
      <c r="H9" s="4">
        <f t="shared" si="4"/>
        <v>324</v>
      </c>
      <c r="I9" s="4">
        <f t="shared" si="5"/>
        <v>324</v>
      </c>
      <c r="J9" s="4">
        <f t="shared" si="6"/>
        <v>324</v>
      </c>
      <c r="K9" s="4">
        <f t="shared" si="7"/>
        <v>324</v>
      </c>
      <c r="L9" s="4">
        <f t="shared" si="8"/>
        <v>324</v>
      </c>
      <c r="M9" s="4">
        <f t="shared" si="9"/>
        <v>324</v>
      </c>
      <c r="N9" s="32">
        <f>ROUND(M9*$Y$2,0)</f>
        <v>389</v>
      </c>
      <c r="O9" s="32">
        <f>ROUND(N9*$Y$2,0)</f>
        <v>467</v>
      </c>
      <c r="P9" s="32">
        <f t="shared" ref="P9:V9" si="17">ROUND(O9*$Y$2,0)</f>
        <v>560</v>
      </c>
      <c r="Q9" s="32">
        <f t="shared" si="17"/>
        <v>672</v>
      </c>
      <c r="R9" s="32">
        <f t="shared" si="17"/>
        <v>806</v>
      </c>
      <c r="S9" s="32">
        <f t="shared" si="17"/>
        <v>967</v>
      </c>
      <c r="T9" s="32">
        <f t="shared" si="17"/>
        <v>1160</v>
      </c>
      <c r="U9" s="32">
        <f t="shared" si="17"/>
        <v>1392</v>
      </c>
      <c r="V9" s="32">
        <f t="shared" si="17"/>
        <v>1670</v>
      </c>
      <c r="W9" s="4">
        <f>副本第1关!AH84</f>
        <v>130</v>
      </c>
      <c r="X9" s="4">
        <f>副本第2关!AH84</f>
        <v>130</v>
      </c>
      <c r="Y9" s="4">
        <f>副本第3关!AH84</f>
        <v>130</v>
      </c>
      <c r="Z9" s="4">
        <f>副本第4关!AH84</f>
        <v>130</v>
      </c>
      <c r="AA9" s="4">
        <f>副本第5关!AH84</f>
        <v>130</v>
      </c>
      <c r="AB9" s="7">
        <f>橙武副本1!AK84</f>
        <v>368</v>
      </c>
      <c r="AC9" s="4">
        <f t="shared" si="11"/>
        <v>1285</v>
      </c>
      <c r="AD9">
        <f>橙武副本3!AH84</f>
        <v>689</v>
      </c>
      <c r="AF9" s="4">
        <v>26</v>
      </c>
      <c r="AG9" s="4">
        <f t="shared" si="14"/>
        <v>0</v>
      </c>
      <c r="AH9" s="4">
        <f t="shared" si="12"/>
        <v>1.771561</v>
      </c>
    </row>
    <row r="10" spans="1:34">
      <c r="A10" s="4">
        <v>7</v>
      </c>
      <c r="C10" s="4">
        <f>IF(第1关!AF85=0,C9,第1关!AF85)</f>
        <v>236</v>
      </c>
      <c r="D10" s="4">
        <f>IF(第2关!AF85=0,D9,第2关!AF85)</f>
        <v>259</v>
      </c>
      <c r="E10" s="4">
        <f>第3关!AH85</f>
        <v>389</v>
      </c>
      <c r="F10" s="4">
        <f t="shared" si="2"/>
        <v>389</v>
      </c>
      <c r="G10" s="4">
        <f t="shared" si="3"/>
        <v>389</v>
      </c>
      <c r="H10" s="4">
        <f t="shared" si="4"/>
        <v>389</v>
      </c>
      <c r="I10" s="4">
        <f t="shared" si="5"/>
        <v>389</v>
      </c>
      <c r="J10" s="4">
        <f t="shared" si="6"/>
        <v>389</v>
      </c>
      <c r="K10" s="4">
        <f t="shared" si="7"/>
        <v>389</v>
      </c>
      <c r="L10" s="4">
        <f t="shared" si="8"/>
        <v>389</v>
      </c>
      <c r="M10" s="4">
        <f t="shared" si="9"/>
        <v>389</v>
      </c>
      <c r="N10" s="32">
        <f>ROUND(M10*$Y$2,0)</f>
        <v>467</v>
      </c>
      <c r="O10" s="32">
        <f t="shared" ref="O10:V10" si="18">ROUND(N10*$Y$2,0)</f>
        <v>560</v>
      </c>
      <c r="P10" s="32">
        <f t="shared" si="18"/>
        <v>672</v>
      </c>
      <c r="Q10" s="32">
        <f t="shared" si="18"/>
        <v>806</v>
      </c>
      <c r="R10" s="32">
        <f t="shared" si="18"/>
        <v>967</v>
      </c>
      <c r="S10" s="32">
        <f t="shared" si="18"/>
        <v>1160</v>
      </c>
      <c r="T10" s="32">
        <f t="shared" si="18"/>
        <v>1392</v>
      </c>
      <c r="U10" s="32">
        <f t="shared" si="18"/>
        <v>1670</v>
      </c>
      <c r="V10" s="32">
        <f t="shared" si="18"/>
        <v>2004</v>
      </c>
      <c r="W10" s="4">
        <f>副本第1关!AH85</f>
        <v>154</v>
      </c>
      <c r="X10" s="4">
        <f>副本第2关!AH85</f>
        <v>154</v>
      </c>
      <c r="Y10" s="4">
        <f>副本第3关!AH85</f>
        <v>154</v>
      </c>
      <c r="Z10" s="4">
        <f>副本第4关!AH85</f>
        <v>154</v>
      </c>
      <c r="AA10" s="4">
        <f>副本第5关!AH85</f>
        <v>154</v>
      </c>
      <c r="AB10" s="7">
        <f>橙武副本1!AK85</f>
        <v>547</v>
      </c>
      <c r="AC10" s="4">
        <f t="shared" si="11"/>
        <v>1909</v>
      </c>
      <c r="AD10">
        <f>橙武副本3!AH85</f>
        <v>1024</v>
      </c>
      <c r="AF10" s="4">
        <v>27</v>
      </c>
      <c r="AG10" s="4">
        <f t="shared" si="14"/>
        <v>0</v>
      </c>
      <c r="AH10" s="4">
        <f t="shared" si="12"/>
        <v>1.9487171</v>
      </c>
    </row>
    <row r="11" spans="1:34">
      <c r="A11" s="4">
        <v>8</v>
      </c>
      <c r="C11" s="4">
        <f>IF(第1关!AF86=0,C10,第1关!AF86)</f>
        <v>236</v>
      </c>
      <c r="D11" s="4">
        <f>IF(第2关!AF86=0,D10,第2关!AF86)</f>
        <v>434</v>
      </c>
      <c r="E11" s="4">
        <f>第3关!AH86</f>
        <v>343</v>
      </c>
      <c r="F11" s="4">
        <f t="shared" si="2"/>
        <v>343</v>
      </c>
      <c r="G11" s="4">
        <f t="shared" si="3"/>
        <v>343</v>
      </c>
      <c r="H11" s="4">
        <f t="shared" si="4"/>
        <v>343</v>
      </c>
      <c r="I11" s="4">
        <f t="shared" si="5"/>
        <v>343</v>
      </c>
      <c r="J11" s="4">
        <f t="shared" si="6"/>
        <v>343</v>
      </c>
      <c r="K11" s="4">
        <f t="shared" si="7"/>
        <v>343</v>
      </c>
      <c r="L11" s="32">
        <f>ROUND(K11*$Y$2,0)</f>
        <v>412</v>
      </c>
      <c r="M11" s="32">
        <f t="shared" ref="M11:V11" si="19">ROUND(L11*$Y$2,0)</f>
        <v>494</v>
      </c>
      <c r="N11" s="32">
        <f t="shared" si="19"/>
        <v>593</v>
      </c>
      <c r="O11" s="32">
        <f t="shared" si="19"/>
        <v>712</v>
      </c>
      <c r="P11" s="32">
        <f t="shared" si="19"/>
        <v>854</v>
      </c>
      <c r="Q11" s="32">
        <f t="shared" si="19"/>
        <v>1025</v>
      </c>
      <c r="R11" s="32">
        <f t="shared" si="19"/>
        <v>1230</v>
      </c>
      <c r="S11" s="32">
        <f t="shared" si="19"/>
        <v>1476</v>
      </c>
      <c r="T11" s="32">
        <f t="shared" si="19"/>
        <v>1771</v>
      </c>
      <c r="U11" s="32">
        <f t="shared" si="19"/>
        <v>2125</v>
      </c>
      <c r="V11" s="32">
        <f t="shared" si="19"/>
        <v>2550</v>
      </c>
      <c r="W11" s="4">
        <f>副本第1关!AH86</f>
        <v>165</v>
      </c>
      <c r="X11" s="4">
        <f>副本第2关!AH86</f>
        <v>165</v>
      </c>
      <c r="Y11" s="4">
        <f>副本第3关!AH86</f>
        <v>165</v>
      </c>
      <c r="Z11" s="4">
        <f>副本第4关!AH86</f>
        <v>165</v>
      </c>
      <c r="AA11" s="4">
        <f>副本第5关!AH86</f>
        <v>165</v>
      </c>
      <c r="AB11" s="7">
        <f>橙武副本1!AK86</f>
        <v>741</v>
      </c>
      <c r="AC11" s="4">
        <f t="shared" si="11"/>
        <v>3736</v>
      </c>
      <c r="AD11">
        <f>橙武副本3!AH86</f>
        <v>1389</v>
      </c>
      <c r="AF11" s="4">
        <v>28</v>
      </c>
      <c r="AG11" s="4">
        <f t="shared" si="14"/>
        <v>0</v>
      </c>
      <c r="AH11" s="4">
        <f t="shared" si="12"/>
        <v>2.14358881</v>
      </c>
    </row>
    <row r="12" spans="1:34">
      <c r="A12" s="4">
        <v>9</v>
      </c>
      <c r="C12" s="4">
        <f>IF(第1关!AF87=0,C11,第1关!AF87)</f>
        <v>236</v>
      </c>
      <c r="D12" s="4">
        <f>IF(第2关!AF87=0,D11,第2关!AF87)</f>
        <v>595</v>
      </c>
      <c r="E12" s="4">
        <f>第3关!AH87</f>
        <v>722</v>
      </c>
      <c r="F12" s="4">
        <f t="shared" si="2"/>
        <v>722</v>
      </c>
      <c r="G12" s="4">
        <f t="shared" si="3"/>
        <v>722</v>
      </c>
      <c r="H12" s="4">
        <f t="shared" si="4"/>
        <v>722</v>
      </c>
      <c r="I12" s="4">
        <f t="shared" si="5"/>
        <v>722</v>
      </c>
      <c r="J12" s="32">
        <f>ROUND(I12*$Y$2,0)</f>
        <v>866</v>
      </c>
      <c r="K12" s="32">
        <f t="shared" ref="K12:V12" si="20">ROUND(J12*$Y$2,0)</f>
        <v>1039</v>
      </c>
      <c r="L12" s="32">
        <f t="shared" si="20"/>
        <v>1247</v>
      </c>
      <c r="M12" s="32">
        <f t="shared" si="20"/>
        <v>1496</v>
      </c>
      <c r="N12" s="32">
        <f t="shared" si="20"/>
        <v>1795</v>
      </c>
      <c r="O12" s="32">
        <f t="shared" si="20"/>
        <v>2154</v>
      </c>
      <c r="P12" s="32">
        <f t="shared" si="20"/>
        <v>2585</v>
      </c>
      <c r="Q12" s="32">
        <f t="shared" si="20"/>
        <v>3102</v>
      </c>
      <c r="R12" s="32">
        <f t="shared" si="20"/>
        <v>3722</v>
      </c>
      <c r="S12" s="32">
        <f t="shared" si="20"/>
        <v>4466</v>
      </c>
      <c r="T12" s="32">
        <f t="shared" si="20"/>
        <v>5359</v>
      </c>
      <c r="U12" s="32">
        <f t="shared" si="20"/>
        <v>6431</v>
      </c>
      <c r="V12" s="32">
        <f t="shared" si="20"/>
        <v>7717</v>
      </c>
      <c r="W12" s="4">
        <f>副本第1关!AH87</f>
        <v>189</v>
      </c>
      <c r="X12" s="4">
        <f>副本第2关!AH87</f>
        <v>189</v>
      </c>
      <c r="Y12" s="4">
        <f>副本第3关!AH87</f>
        <v>189</v>
      </c>
      <c r="Z12" s="4">
        <f>副本第4关!AH87</f>
        <v>189</v>
      </c>
      <c r="AA12" s="4">
        <f>副本第5关!AH87</f>
        <v>189</v>
      </c>
      <c r="AB12" s="7">
        <f>橙武副本1!AK87</f>
        <v>849</v>
      </c>
      <c r="AC12" s="4">
        <f t="shared" si="11"/>
        <v>6519</v>
      </c>
      <c r="AD12">
        <f>橙武副本3!AH87</f>
        <v>1686</v>
      </c>
      <c r="AF12" s="4">
        <v>29</v>
      </c>
      <c r="AG12" s="4">
        <f t="shared" si="14"/>
        <v>0</v>
      </c>
      <c r="AH12" s="4">
        <f t="shared" si="12"/>
        <v>2.357947691</v>
      </c>
    </row>
    <row r="13" s="30" customFormat="1" spans="1:34">
      <c r="A13" s="32">
        <v>10</v>
      </c>
      <c r="B13" s="32"/>
      <c r="C13" s="32">
        <f>IF(第1关!AF88=0,C12,第1关!AF88)</f>
        <v>236</v>
      </c>
      <c r="D13" s="32">
        <f>IF(第2关!AF88=0,D12,第2关!AF88)</f>
        <v>839</v>
      </c>
      <c r="E13" s="32">
        <f>第3关!AH88</f>
        <v>1010</v>
      </c>
      <c r="F13" s="32">
        <f t="shared" ref="F13:F23" si="21">ROUND(E13*$Y$2,0)</f>
        <v>1212</v>
      </c>
      <c r="G13" s="32">
        <f t="shared" ref="G13:G23" si="22">ROUND(F13*$Y$2,0)</f>
        <v>1454</v>
      </c>
      <c r="H13" s="32">
        <f>ROUND(G13*$Y$2,0)</f>
        <v>1745</v>
      </c>
      <c r="I13" s="32">
        <f>ROUND(H13*$Y$2,0)</f>
        <v>2094</v>
      </c>
      <c r="J13" s="32">
        <f>ROUND(I13*$Y$2,0)</f>
        <v>2513</v>
      </c>
      <c r="K13" s="32">
        <f t="shared" ref="K13:V13" si="23">ROUND(J13*$Y$2,0)</f>
        <v>3016</v>
      </c>
      <c r="L13" s="32">
        <f t="shared" si="23"/>
        <v>3619</v>
      </c>
      <c r="M13" s="32">
        <f t="shared" si="23"/>
        <v>4343</v>
      </c>
      <c r="N13" s="32">
        <f t="shared" si="23"/>
        <v>5212</v>
      </c>
      <c r="O13" s="32">
        <f t="shared" si="23"/>
        <v>6254</v>
      </c>
      <c r="P13" s="32">
        <f t="shared" si="23"/>
        <v>7505</v>
      </c>
      <c r="Q13" s="32">
        <f t="shared" si="23"/>
        <v>9006</v>
      </c>
      <c r="R13" s="32">
        <f t="shared" si="23"/>
        <v>10807</v>
      </c>
      <c r="S13" s="32">
        <f t="shared" si="23"/>
        <v>12968</v>
      </c>
      <c r="T13" s="32">
        <f t="shared" si="23"/>
        <v>15562</v>
      </c>
      <c r="U13" s="32">
        <f t="shared" si="23"/>
        <v>18674</v>
      </c>
      <c r="V13" s="32">
        <f t="shared" si="23"/>
        <v>22409</v>
      </c>
      <c r="W13" s="32">
        <f>副本第1关!AH88</f>
        <v>118</v>
      </c>
      <c r="X13" s="32">
        <f>副本第2关!AH88</f>
        <v>118</v>
      </c>
      <c r="Y13" s="32">
        <f>副本第3关!AH88</f>
        <v>118</v>
      </c>
      <c r="Z13" s="32">
        <f>副本第4关!AH88</f>
        <v>118</v>
      </c>
      <c r="AA13" s="32">
        <f>副本第5关!AH88</f>
        <v>125</v>
      </c>
      <c r="AB13" s="34">
        <f>橙武副本1!AK88</f>
        <v>1160</v>
      </c>
      <c r="AC13" s="4">
        <f t="shared" si="11"/>
        <v>9189</v>
      </c>
      <c r="AD13">
        <f>橙武副本3!AH88</f>
        <v>1145</v>
      </c>
      <c r="AF13" s="4">
        <v>30</v>
      </c>
      <c r="AG13" s="4">
        <f t="shared" si="14"/>
        <v>0</v>
      </c>
      <c r="AH13" s="4">
        <f t="shared" si="12"/>
        <v>2.5937424601</v>
      </c>
    </row>
    <row r="14" s="30" customFormat="1" spans="1:34">
      <c r="A14" s="32">
        <v>11</v>
      </c>
      <c r="B14" s="32"/>
      <c r="C14" s="32">
        <f>IF(第1关!AF89=0,C13,第1关!AF89)</f>
        <v>236</v>
      </c>
      <c r="D14" s="32">
        <f>IF(第2关!AF89=0,D13,第2关!AF89)</f>
        <v>839</v>
      </c>
      <c r="E14" s="32">
        <f>第3关!AH89</f>
        <v>1319</v>
      </c>
      <c r="F14" s="32">
        <f t="shared" si="21"/>
        <v>1583</v>
      </c>
      <c r="G14" s="32">
        <f t="shared" si="22"/>
        <v>1900</v>
      </c>
      <c r="H14" s="32">
        <f t="shared" ref="H14:V14" si="24">ROUND(G14*$Y$2,0)</f>
        <v>2280</v>
      </c>
      <c r="I14" s="32">
        <f t="shared" si="24"/>
        <v>2736</v>
      </c>
      <c r="J14" s="32">
        <f t="shared" si="24"/>
        <v>3283</v>
      </c>
      <c r="K14" s="32">
        <f t="shared" si="24"/>
        <v>3940</v>
      </c>
      <c r="L14" s="32">
        <f t="shared" si="24"/>
        <v>4728</v>
      </c>
      <c r="M14" s="32">
        <f t="shared" si="24"/>
        <v>5674</v>
      </c>
      <c r="N14" s="32">
        <f t="shared" si="24"/>
        <v>6809</v>
      </c>
      <c r="O14" s="32">
        <f t="shared" si="24"/>
        <v>8171</v>
      </c>
      <c r="P14" s="32">
        <f t="shared" si="24"/>
        <v>9805</v>
      </c>
      <c r="Q14" s="32">
        <f t="shared" si="24"/>
        <v>11766</v>
      </c>
      <c r="R14" s="32">
        <f t="shared" si="24"/>
        <v>14119</v>
      </c>
      <c r="S14" s="32">
        <f t="shared" si="24"/>
        <v>16943</v>
      </c>
      <c r="T14" s="32">
        <f t="shared" si="24"/>
        <v>20332</v>
      </c>
      <c r="U14" s="32">
        <f t="shared" si="24"/>
        <v>24398</v>
      </c>
      <c r="V14" s="32">
        <f t="shared" si="24"/>
        <v>29278</v>
      </c>
      <c r="W14" s="32">
        <f>副本第1关!AH89</f>
        <v>184</v>
      </c>
      <c r="X14" s="32">
        <f>副本第2关!AH89</f>
        <v>184</v>
      </c>
      <c r="Y14" s="32">
        <f>副本第3关!AH89</f>
        <v>184</v>
      </c>
      <c r="Z14" s="32">
        <f>副本第4关!AH89</f>
        <v>184</v>
      </c>
      <c r="AA14" s="32">
        <f>副本第5关!AH89</f>
        <v>184</v>
      </c>
      <c r="AB14" s="34">
        <f>橙武副本1!AK89</f>
        <v>1268</v>
      </c>
      <c r="AC14" s="4">
        <f t="shared" si="11"/>
        <v>17775</v>
      </c>
      <c r="AD14">
        <f>橙武副本3!AH89</f>
        <v>2214</v>
      </c>
      <c r="AF14" s="4">
        <v>31</v>
      </c>
      <c r="AG14" s="4">
        <f t="shared" si="14"/>
        <v>0</v>
      </c>
      <c r="AH14" s="4">
        <f t="shared" si="12"/>
        <v>2.85311670611</v>
      </c>
    </row>
    <row r="15" spans="1:34">
      <c r="A15" s="4">
        <v>12</v>
      </c>
      <c r="C15" s="4">
        <f>IF(第1关!AF90=0,C14,第1关!AF90)</f>
        <v>236</v>
      </c>
      <c r="D15" s="4">
        <f>IF(第2关!AF90=0,D14,第2关!AF90)</f>
        <v>839</v>
      </c>
      <c r="E15" s="4">
        <f>第3关!AH90</f>
        <v>1334</v>
      </c>
      <c r="F15" s="4">
        <f t="shared" si="21"/>
        <v>1601</v>
      </c>
      <c r="G15" s="4">
        <f t="shared" si="22"/>
        <v>1921</v>
      </c>
      <c r="H15" s="4">
        <f t="shared" ref="H15:V15" si="25">ROUND(G15*$Y$2,0)</f>
        <v>2305</v>
      </c>
      <c r="I15" s="4">
        <f t="shared" si="25"/>
        <v>2766</v>
      </c>
      <c r="J15" s="4">
        <f t="shared" si="25"/>
        <v>3319</v>
      </c>
      <c r="K15" s="4">
        <f t="shared" si="25"/>
        <v>3983</v>
      </c>
      <c r="L15" s="4">
        <f t="shared" si="25"/>
        <v>4780</v>
      </c>
      <c r="M15" s="4">
        <f t="shared" si="25"/>
        <v>5736</v>
      </c>
      <c r="N15" s="4">
        <f t="shared" si="25"/>
        <v>6883</v>
      </c>
      <c r="O15" s="4">
        <f t="shared" si="25"/>
        <v>8260</v>
      </c>
      <c r="P15" s="4">
        <f t="shared" si="25"/>
        <v>9912</v>
      </c>
      <c r="Q15" s="4">
        <f t="shared" si="25"/>
        <v>11894</v>
      </c>
      <c r="R15" s="4">
        <f t="shared" si="25"/>
        <v>14273</v>
      </c>
      <c r="S15" s="4">
        <f t="shared" si="25"/>
        <v>17128</v>
      </c>
      <c r="T15" s="4">
        <f t="shared" si="25"/>
        <v>20554</v>
      </c>
      <c r="U15" s="4">
        <f t="shared" si="25"/>
        <v>24665</v>
      </c>
      <c r="V15" s="4">
        <f t="shared" si="25"/>
        <v>29598</v>
      </c>
      <c r="W15" s="4">
        <f>副本第1关!AH90</f>
        <v>221</v>
      </c>
      <c r="X15" s="4">
        <f>副本第2关!AH90</f>
        <v>221</v>
      </c>
      <c r="Y15" s="4">
        <f>副本第3关!AH90</f>
        <v>221</v>
      </c>
      <c r="Z15" s="4">
        <f>副本第4关!AH90</f>
        <v>221</v>
      </c>
      <c r="AA15" s="4">
        <f>副本第5关!AH90</f>
        <v>231</v>
      </c>
      <c r="AB15" s="7">
        <f>橙武副本1!AK90</f>
        <v>1260</v>
      </c>
      <c r="AC15" s="4">
        <f t="shared" si="11"/>
        <v>20222</v>
      </c>
      <c r="AD15">
        <f>橙武副本3!AH90</f>
        <v>2520</v>
      </c>
      <c r="AF15" s="4">
        <v>32</v>
      </c>
      <c r="AG15" s="4">
        <f t="shared" si="14"/>
        <v>0</v>
      </c>
      <c r="AH15" s="4">
        <f t="shared" si="12"/>
        <v>3.138428376721</v>
      </c>
    </row>
    <row r="16" spans="1:34">
      <c r="A16" s="4">
        <v>13</v>
      </c>
      <c r="C16" s="4">
        <f>IF(第1关!AF91=0,C15,第1关!AF91)</f>
        <v>236</v>
      </c>
      <c r="D16" s="4">
        <f>IF(第2关!AF91=0,D15,第2关!AF91)</f>
        <v>839</v>
      </c>
      <c r="E16" s="4">
        <f>第3关!AH91</f>
        <v>0</v>
      </c>
      <c r="F16" s="4">
        <f t="shared" si="21"/>
        <v>0</v>
      </c>
      <c r="G16" s="4">
        <f t="shared" si="22"/>
        <v>0</v>
      </c>
      <c r="H16" s="4">
        <f t="shared" ref="H16:V16" si="26">ROUND(G16*$Y$2,0)</f>
        <v>0</v>
      </c>
      <c r="I16" s="4">
        <f t="shared" si="26"/>
        <v>0</v>
      </c>
      <c r="J16" s="4">
        <f t="shared" si="26"/>
        <v>0</v>
      </c>
      <c r="K16" s="4">
        <f t="shared" si="26"/>
        <v>0</v>
      </c>
      <c r="L16" s="4">
        <f t="shared" si="26"/>
        <v>0</v>
      </c>
      <c r="M16" s="4">
        <f t="shared" si="26"/>
        <v>0</v>
      </c>
      <c r="N16" s="4">
        <f t="shared" si="26"/>
        <v>0</v>
      </c>
      <c r="O16" s="4">
        <f t="shared" si="26"/>
        <v>0</v>
      </c>
      <c r="P16" s="4">
        <f t="shared" si="26"/>
        <v>0</v>
      </c>
      <c r="Q16" s="4">
        <f t="shared" si="26"/>
        <v>0</v>
      </c>
      <c r="R16" s="4">
        <f t="shared" si="26"/>
        <v>0</v>
      </c>
      <c r="S16" s="4">
        <f t="shared" si="26"/>
        <v>0</v>
      </c>
      <c r="T16" s="4">
        <f t="shared" si="26"/>
        <v>0</v>
      </c>
      <c r="U16" s="4">
        <f t="shared" si="26"/>
        <v>0</v>
      </c>
      <c r="V16" s="4">
        <f t="shared" si="26"/>
        <v>0</v>
      </c>
      <c r="W16" s="4">
        <f>副本第1关!AH91</f>
        <v>241</v>
      </c>
      <c r="X16" s="4">
        <f>副本第2关!AH91</f>
        <v>241</v>
      </c>
      <c r="Y16" s="4">
        <f>副本第3关!AH91</f>
        <v>241</v>
      </c>
      <c r="Z16" s="4">
        <f>副本第4关!AH91</f>
        <v>250</v>
      </c>
      <c r="AA16" s="4">
        <f>副本第5关!AH91</f>
        <v>250</v>
      </c>
      <c r="AB16" s="7">
        <f>橙武副本1!AK91</f>
        <v>1515</v>
      </c>
      <c r="AC16" s="4" t="e">
        <f t="shared" si="11"/>
        <v>#DIV/0!</v>
      </c>
      <c r="AD16">
        <f>橙武副本3!AH91</f>
        <v>2983</v>
      </c>
      <c r="AF16" s="4">
        <v>33</v>
      </c>
      <c r="AG16" s="4">
        <f t="shared" si="14"/>
        <v>0</v>
      </c>
      <c r="AH16" s="4">
        <f t="shared" si="12"/>
        <v>3.4522712143931</v>
      </c>
    </row>
    <row r="17" spans="1:34">
      <c r="A17" s="4">
        <v>14</v>
      </c>
      <c r="C17" s="4">
        <f>IF(第1关!AF92=0,C16,第1关!AF92)</f>
        <v>236</v>
      </c>
      <c r="D17" s="4">
        <f>IF(第2关!AF92=0,D16,第2关!AF92)</f>
        <v>839</v>
      </c>
      <c r="E17" s="4">
        <f>第3关!AH92</f>
        <v>0</v>
      </c>
      <c r="F17" s="4">
        <f t="shared" si="21"/>
        <v>0</v>
      </c>
      <c r="G17" s="4">
        <f t="shared" si="22"/>
        <v>0</v>
      </c>
      <c r="H17" s="4">
        <f t="shared" ref="H17:V17" si="27">ROUND(G17*$Y$2,0)</f>
        <v>0</v>
      </c>
      <c r="I17" s="4">
        <f t="shared" si="27"/>
        <v>0</v>
      </c>
      <c r="J17" s="4">
        <f t="shared" si="27"/>
        <v>0</v>
      </c>
      <c r="K17" s="4">
        <f t="shared" si="27"/>
        <v>0</v>
      </c>
      <c r="L17" s="4">
        <f t="shared" si="27"/>
        <v>0</v>
      </c>
      <c r="M17" s="4">
        <f t="shared" si="27"/>
        <v>0</v>
      </c>
      <c r="N17" s="4">
        <f t="shared" si="27"/>
        <v>0</v>
      </c>
      <c r="O17" s="4">
        <f t="shared" si="27"/>
        <v>0</v>
      </c>
      <c r="P17" s="4">
        <f t="shared" si="27"/>
        <v>0</v>
      </c>
      <c r="Q17" s="4">
        <f t="shared" si="27"/>
        <v>0</v>
      </c>
      <c r="R17" s="4">
        <f t="shared" si="27"/>
        <v>0</v>
      </c>
      <c r="S17" s="4">
        <f t="shared" si="27"/>
        <v>0</v>
      </c>
      <c r="T17" s="4">
        <f t="shared" si="27"/>
        <v>0</v>
      </c>
      <c r="U17" s="4">
        <f t="shared" si="27"/>
        <v>0</v>
      </c>
      <c r="V17" s="4">
        <f t="shared" si="27"/>
        <v>0</v>
      </c>
      <c r="W17" s="4">
        <f>副本第1关!AH92</f>
        <v>260</v>
      </c>
      <c r="X17" s="4">
        <f>副本第2关!AH92</f>
        <v>260</v>
      </c>
      <c r="Y17" s="4">
        <f>副本第3关!AH92</f>
        <v>260</v>
      </c>
      <c r="Z17" s="4">
        <f>副本第4关!AH92</f>
        <v>270</v>
      </c>
      <c r="AA17" s="4">
        <f>副本第5关!AH92</f>
        <v>279</v>
      </c>
      <c r="AB17" s="7">
        <f>橙武副本1!AK92</f>
        <v>1932</v>
      </c>
      <c r="AC17" s="4" t="e">
        <f t="shared" si="11"/>
        <v>#DIV/0!</v>
      </c>
      <c r="AD17">
        <f>橙武副本3!AH92</f>
        <v>3757</v>
      </c>
      <c r="AF17" s="4">
        <v>34</v>
      </c>
      <c r="AG17" s="4">
        <f t="shared" si="14"/>
        <v>0</v>
      </c>
      <c r="AH17" s="4">
        <f t="shared" si="12"/>
        <v>3.79749833583241</v>
      </c>
    </row>
    <row r="18" spans="1:34">
      <c r="A18" s="4">
        <v>15</v>
      </c>
      <c r="C18" s="4">
        <f>IF(第1关!AF93=0,C17,第1关!AF93)</f>
        <v>236</v>
      </c>
      <c r="D18" s="4">
        <f>IF(第2关!AF93=0,D17,第2关!AF93)</f>
        <v>839</v>
      </c>
      <c r="E18" s="4">
        <f>第3关!AH93</f>
        <v>0</v>
      </c>
      <c r="F18" s="4">
        <f t="shared" si="21"/>
        <v>0</v>
      </c>
      <c r="G18" s="4">
        <f t="shared" si="22"/>
        <v>0</v>
      </c>
      <c r="H18" s="4">
        <f t="shared" ref="H18:V18" si="28">ROUND(G18*$Y$2,0)</f>
        <v>0</v>
      </c>
      <c r="I18" s="4">
        <f t="shared" si="28"/>
        <v>0</v>
      </c>
      <c r="J18" s="4">
        <f t="shared" si="28"/>
        <v>0</v>
      </c>
      <c r="K18" s="4">
        <f t="shared" si="28"/>
        <v>0</v>
      </c>
      <c r="L18" s="4">
        <f t="shared" si="28"/>
        <v>0</v>
      </c>
      <c r="M18" s="4">
        <f t="shared" si="28"/>
        <v>0</v>
      </c>
      <c r="N18" s="4">
        <f t="shared" si="28"/>
        <v>0</v>
      </c>
      <c r="O18" s="4">
        <f t="shared" si="28"/>
        <v>0</v>
      </c>
      <c r="P18" s="4">
        <f t="shared" si="28"/>
        <v>0</v>
      </c>
      <c r="Q18" s="4">
        <f t="shared" si="28"/>
        <v>0</v>
      </c>
      <c r="R18" s="4">
        <f t="shared" si="28"/>
        <v>0</v>
      </c>
      <c r="S18" s="4">
        <f t="shared" si="28"/>
        <v>0</v>
      </c>
      <c r="T18" s="4">
        <f t="shared" si="28"/>
        <v>0</v>
      </c>
      <c r="U18" s="4">
        <f t="shared" si="28"/>
        <v>0</v>
      </c>
      <c r="V18" s="4">
        <f t="shared" si="28"/>
        <v>0</v>
      </c>
      <c r="W18" s="4">
        <f>副本第1关!AH93</f>
        <v>260</v>
      </c>
      <c r="X18" s="4">
        <f>副本第2关!AH93</f>
        <v>260</v>
      </c>
      <c r="Y18" s="4">
        <f>副本第3关!AH93</f>
        <v>260</v>
      </c>
      <c r="Z18" s="4">
        <f>副本第4关!AH93</f>
        <v>260</v>
      </c>
      <c r="AA18" s="4">
        <f>副本第5关!AH93</f>
        <v>269</v>
      </c>
      <c r="AB18" s="7">
        <f>橙武副本1!AK93</f>
        <v>2022</v>
      </c>
      <c r="AC18" s="4" t="e">
        <f t="shared" si="11"/>
        <v>#DIV/0!</v>
      </c>
      <c r="AD18">
        <f>橙武副本3!AH93</f>
        <v>4211</v>
      </c>
      <c r="AF18" s="4">
        <v>35</v>
      </c>
      <c r="AG18" s="4">
        <f t="shared" si="14"/>
        <v>0</v>
      </c>
      <c r="AH18" s="4">
        <f t="shared" si="12"/>
        <v>4.17724816941566</v>
      </c>
    </row>
    <row r="19" spans="1:34">
      <c r="A19" s="4">
        <v>16</v>
      </c>
      <c r="C19" s="4">
        <f>IF(第1关!AF94=0,C18,第1关!AF94)</f>
        <v>236</v>
      </c>
      <c r="D19" s="4">
        <f>IF(第2关!AF94=0,D18,第2关!AF94)</f>
        <v>839</v>
      </c>
      <c r="E19" s="4">
        <f>第3关!AH94</f>
        <v>0</v>
      </c>
      <c r="F19" s="4">
        <f t="shared" si="21"/>
        <v>0</v>
      </c>
      <c r="G19" s="4">
        <f t="shared" si="22"/>
        <v>0</v>
      </c>
      <c r="H19" s="4">
        <f t="shared" ref="H19:V19" si="29">ROUND(G19*$Y$2,0)</f>
        <v>0</v>
      </c>
      <c r="I19" s="4">
        <f t="shared" si="29"/>
        <v>0</v>
      </c>
      <c r="J19" s="4">
        <f t="shared" si="29"/>
        <v>0</v>
      </c>
      <c r="K19" s="4">
        <f t="shared" si="29"/>
        <v>0</v>
      </c>
      <c r="L19" s="4">
        <f t="shared" si="29"/>
        <v>0</v>
      </c>
      <c r="M19" s="4">
        <f t="shared" si="29"/>
        <v>0</v>
      </c>
      <c r="N19" s="4">
        <f t="shared" si="29"/>
        <v>0</v>
      </c>
      <c r="O19" s="4">
        <f t="shared" si="29"/>
        <v>0</v>
      </c>
      <c r="P19" s="4">
        <f t="shared" si="29"/>
        <v>0</v>
      </c>
      <c r="Q19" s="4">
        <f t="shared" si="29"/>
        <v>0</v>
      </c>
      <c r="R19" s="4">
        <f t="shared" si="29"/>
        <v>0</v>
      </c>
      <c r="S19" s="4">
        <f t="shared" si="29"/>
        <v>0</v>
      </c>
      <c r="T19" s="4">
        <f t="shared" si="29"/>
        <v>0</v>
      </c>
      <c r="U19" s="4">
        <f t="shared" si="29"/>
        <v>0</v>
      </c>
      <c r="V19" s="4">
        <f t="shared" si="29"/>
        <v>0</v>
      </c>
      <c r="W19" s="4">
        <f>副本第1关!AH94</f>
        <v>370</v>
      </c>
      <c r="X19" s="4">
        <f>副本第2关!AH94</f>
        <v>370</v>
      </c>
      <c r="Y19" s="4">
        <f>副本第3关!AH94</f>
        <v>370</v>
      </c>
      <c r="Z19" s="4">
        <f>副本第4关!AH94</f>
        <v>381</v>
      </c>
      <c r="AA19" s="4">
        <f>副本第5关!AH94</f>
        <v>393</v>
      </c>
      <c r="AB19" s="7">
        <f>橙武副本1!AK94</f>
        <v>2888</v>
      </c>
      <c r="AC19" s="4" t="e">
        <f t="shared" si="11"/>
        <v>#DIV/0!</v>
      </c>
      <c r="AD19">
        <f>橙武副本3!AH94</f>
        <v>6160</v>
      </c>
      <c r="AF19" s="4">
        <v>36</v>
      </c>
      <c r="AG19" s="4">
        <f t="shared" si="14"/>
        <v>0</v>
      </c>
      <c r="AH19" s="4">
        <f t="shared" si="12"/>
        <v>4.59497298635722</v>
      </c>
    </row>
    <row r="20" spans="1:34">
      <c r="A20" s="4">
        <v>17</v>
      </c>
      <c r="C20" s="4">
        <f>IF(第1关!AF95=0,C19,第1关!AF95)</f>
        <v>236</v>
      </c>
      <c r="D20" s="4">
        <f>IF(第2关!AF95=0,D19,第2关!AF95)</f>
        <v>839</v>
      </c>
      <c r="E20" s="4">
        <f>第3关!AH95</f>
        <v>0</v>
      </c>
      <c r="F20" s="4">
        <f t="shared" si="21"/>
        <v>0</v>
      </c>
      <c r="G20" s="4">
        <f t="shared" si="22"/>
        <v>0</v>
      </c>
      <c r="H20" s="4">
        <f t="shared" ref="H20:V20" si="30">ROUND(G20*$Y$2,0)</f>
        <v>0</v>
      </c>
      <c r="I20" s="4">
        <f t="shared" si="30"/>
        <v>0</v>
      </c>
      <c r="J20" s="4">
        <f t="shared" si="30"/>
        <v>0</v>
      </c>
      <c r="K20" s="4">
        <f t="shared" si="30"/>
        <v>0</v>
      </c>
      <c r="L20" s="4">
        <f t="shared" si="30"/>
        <v>0</v>
      </c>
      <c r="M20" s="4">
        <f t="shared" si="30"/>
        <v>0</v>
      </c>
      <c r="N20" s="4">
        <f t="shared" si="30"/>
        <v>0</v>
      </c>
      <c r="O20" s="4">
        <f t="shared" si="30"/>
        <v>0</v>
      </c>
      <c r="P20" s="4">
        <f t="shared" si="30"/>
        <v>0</v>
      </c>
      <c r="Q20" s="4">
        <f t="shared" si="30"/>
        <v>0</v>
      </c>
      <c r="R20" s="4">
        <f t="shared" si="30"/>
        <v>0</v>
      </c>
      <c r="S20" s="4">
        <f t="shared" si="30"/>
        <v>0</v>
      </c>
      <c r="T20" s="4">
        <f t="shared" si="30"/>
        <v>0</v>
      </c>
      <c r="U20" s="4">
        <f t="shared" si="30"/>
        <v>0</v>
      </c>
      <c r="V20" s="4">
        <f t="shared" si="30"/>
        <v>0</v>
      </c>
      <c r="W20" s="4">
        <f>副本第1关!AH95</f>
        <v>393</v>
      </c>
      <c r="X20" s="4">
        <f>副本第2关!AH95</f>
        <v>393</v>
      </c>
      <c r="Y20" s="4">
        <f>副本第3关!AH95</f>
        <v>393</v>
      </c>
      <c r="Z20" s="4">
        <f>副本第4关!AH95</f>
        <v>404</v>
      </c>
      <c r="AA20" s="4">
        <f>副本第5关!AH95</f>
        <v>416</v>
      </c>
      <c r="AB20" s="7">
        <f>橙武副本1!AK95</f>
        <v>4061</v>
      </c>
      <c r="AC20" s="4" t="e">
        <f t="shared" si="11"/>
        <v>#DIV/0!</v>
      </c>
      <c r="AD20">
        <f>橙武副本3!AH95</f>
        <v>8522</v>
      </c>
      <c r="AF20" s="4">
        <v>37</v>
      </c>
      <c r="AG20" s="4">
        <f t="shared" si="14"/>
        <v>0</v>
      </c>
      <c r="AH20" s="4">
        <f t="shared" si="12"/>
        <v>5.05447028499295</v>
      </c>
    </row>
    <row r="21" spans="1:34">
      <c r="A21" s="4">
        <v>18</v>
      </c>
      <c r="C21" s="4">
        <f>IF(第1关!AF96=0,C20,第1关!AF96)</f>
        <v>236</v>
      </c>
      <c r="D21" s="4">
        <f>IF(第2关!AF96=0,D20,第2关!AF96)</f>
        <v>839</v>
      </c>
      <c r="E21" s="4">
        <f>第3关!AH96</f>
        <v>0</v>
      </c>
      <c r="F21" s="4">
        <f t="shared" si="21"/>
        <v>0</v>
      </c>
      <c r="G21" s="4">
        <f t="shared" si="22"/>
        <v>0</v>
      </c>
      <c r="H21" s="4">
        <f t="shared" ref="H21:V21" si="31">ROUND(G21*$Y$2,0)</f>
        <v>0</v>
      </c>
      <c r="I21" s="4">
        <f t="shared" si="31"/>
        <v>0</v>
      </c>
      <c r="J21" s="4">
        <f t="shared" si="31"/>
        <v>0</v>
      </c>
      <c r="K21" s="4">
        <f t="shared" si="31"/>
        <v>0</v>
      </c>
      <c r="L21" s="4">
        <f t="shared" si="31"/>
        <v>0</v>
      </c>
      <c r="M21" s="4">
        <f t="shared" si="31"/>
        <v>0</v>
      </c>
      <c r="N21" s="4">
        <f t="shared" si="31"/>
        <v>0</v>
      </c>
      <c r="O21" s="4">
        <f t="shared" si="31"/>
        <v>0</v>
      </c>
      <c r="P21" s="4">
        <f t="shared" si="31"/>
        <v>0</v>
      </c>
      <c r="Q21" s="4">
        <f t="shared" si="31"/>
        <v>0</v>
      </c>
      <c r="R21" s="4">
        <f t="shared" si="31"/>
        <v>0</v>
      </c>
      <c r="S21" s="4">
        <f t="shared" si="31"/>
        <v>0</v>
      </c>
      <c r="T21" s="4">
        <f t="shared" si="31"/>
        <v>0</v>
      </c>
      <c r="U21" s="4">
        <f t="shared" si="31"/>
        <v>0</v>
      </c>
      <c r="V21" s="4">
        <f t="shared" si="31"/>
        <v>0</v>
      </c>
      <c r="W21" s="4">
        <f>副本第1关!AH96</f>
        <v>450</v>
      </c>
      <c r="X21" s="4">
        <f>副本第2关!AH96</f>
        <v>450</v>
      </c>
      <c r="Y21" s="4">
        <f>副本第3关!AH96</f>
        <v>450</v>
      </c>
      <c r="Z21" s="4">
        <f>副本第4关!AH96</f>
        <v>463</v>
      </c>
      <c r="AA21" s="4">
        <f>副本第5关!AH96</f>
        <v>488</v>
      </c>
      <c r="AB21" s="7">
        <f>橙武副本1!AK96</f>
        <v>4505</v>
      </c>
      <c r="AC21" s="4" t="e">
        <f t="shared" si="11"/>
        <v>#DIV/0!</v>
      </c>
      <c r="AD21">
        <f>橙武副本3!AH96</f>
        <v>10010</v>
      </c>
      <c r="AF21" s="4">
        <v>38</v>
      </c>
      <c r="AG21" s="4">
        <f t="shared" si="14"/>
        <v>0</v>
      </c>
      <c r="AH21" s="4">
        <f t="shared" si="12"/>
        <v>5.55991731349224</v>
      </c>
    </row>
    <row r="22" spans="1:34">
      <c r="A22" s="4">
        <v>19</v>
      </c>
      <c r="C22" s="4">
        <f>IF(第1关!AF97=0,C21,第1关!AF97)</f>
        <v>236</v>
      </c>
      <c r="D22" s="4">
        <f>IF(第2关!AF97=0,D21,第2关!AF97)</f>
        <v>839</v>
      </c>
      <c r="E22" s="4">
        <f>第3关!AH97</f>
        <v>0</v>
      </c>
      <c r="F22" s="4">
        <f t="shared" si="21"/>
        <v>0</v>
      </c>
      <c r="G22" s="4">
        <f t="shared" si="22"/>
        <v>0</v>
      </c>
      <c r="H22" s="4">
        <f t="shared" ref="H22:V22" si="32">ROUND(G22*$Y$2,0)</f>
        <v>0</v>
      </c>
      <c r="I22" s="4">
        <f t="shared" si="32"/>
        <v>0</v>
      </c>
      <c r="J22" s="4">
        <f t="shared" si="32"/>
        <v>0</v>
      </c>
      <c r="K22" s="4">
        <f t="shared" si="32"/>
        <v>0</v>
      </c>
      <c r="L22" s="4">
        <f t="shared" si="32"/>
        <v>0</v>
      </c>
      <c r="M22" s="4">
        <f t="shared" si="32"/>
        <v>0</v>
      </c>
      <c r="N22" s="4">
        <f t="shared" si="32"/>
        <v>0</v>
      </c>
      <c r="O22" s="4">
        <f t="shared" si="32"/>
        <v>0</v>
      </c>
      <c r="P22" s="4">
        <f t="shared" si="32"/>
        <v>0</v>
      </c>
      <c r="Q22" s="4">
        <f t="shared" si="32"/>
        <v>0</v>
      </c>
      <c r="R22" s="4">
        <f t="shared" si="32"/>
        <v>0</v>
      </c>
      <c r="S22" s="4">
        <f t="shared" si="32"/>
        <v>0</v>
      </c>
      <c r="T22" s="4">
        <f t="shared" si="32"/>
        <v>0</v>
      </c>
      <c r="U22" s="4">
        <f t="shared" si="32"/>
        <v>0</v>
      </c>
      <c r="V22" s="4">
        <f t="shared" si="32"/>
        <v>0</v>
      </c>
      <c r="W22" s="4">
        <f>副本第1关!AH97</f>
        <v>488</v>
      </c>
      <c r="X22" s="4">
        <f>副本第2关!AH97</f>
        <v>488</v>
      </c>
      <c r="Y22" s="4">
        <f>副本第3关!AH97</f>
        <v>488</v>
      </c>
      <c r="Z22" s="4">
        <f>副本第4关!AH97</f>
        <v>501</v>
      </c>
      <c r="AA22" s="4">
        <f>副本第5关!AH97</f>
        <v>513</v>
      </c>
      <c r="AB22" s="7">
        <f>橙武副本1!AK97</f>
        <v>5444</v>
      </c>
      <c r="AC22" s="4" t="e">
        <f t="shared" si="11"/>
        <v>#DIV/0!</v>
      </c>
      <c r="AD22">
        <f>橙武副本3!AH97</f>
        <v>11887</v>
      </c>
      <c r="AF22" s="4">
        <v>39</v>
      </c>
      <c r="AG22" s="4">
        <f t="shared" si="14"/>
        <v>0</v>
      </c>
      <c r="AH22" s="4">
        <f t="shared" si="12"/>
        <v>6.11590904484146</v>
      </c>
    </row>
    <row r="23" spans="1:34">
      <c r="A23" s="4">
        <v>20</v>
      </c>
      <c r="C23" s="4">
        <f>IF(第1关!AF98=0,C22,第1关!AF98)</f>
        <v>236</v>
      </c>
      <c r="D23" s="4">
        <f>IF(第2关!AF98=0,D22,第2关!AF98)</f>
        <v>839</v>
      </c>
      <c r="E23" s="4">
        <f>第3关!AH98</f>
        <v>0</v>
      </c>
      <c r="F23" s="4">
        <f t="shared" si="21"/>
        <v>0</v>
      </c>
      <c r="G23" s="4">
        <f t="shared" si="22"/>
        <v>0</v>
      </c>
      <c r="H23" s="4">
        <f t="shared" ref="H23:V23" si="33">ROUND(G23*$Y$2,0)</f>
        <v>0</v>
      </c>
      <c r="I23" s="4">
        <f t="shared" si="33"/>
        <v>0</v>
      </c>
      <c r="J23" s="4">
        <f t="shared" si="33"/>
        <v>0</v>
      </c>
      <c r="K23" s="4">
        <f t="shared" si="33"/>
        <v>0</v>
      </c>
      <c r="L23" s="4">
        <f t="shared" si="33"/>
        <v>0</v>
      </c>
      <c r="M23" s="4">
        <f t="shared" si="33"/>
        <v>0</v>
      </c>
      <c r="N23" s="4">
        <f t="shared" si="33"/>
        <v>0</v>
      </c>
      <c r="O23" s="4">
        <f t="shared" si="33"/>
        <v>0</v>
      </c>
      <c r="P23" s="4">
        <f t="shared" si="33"/>
        <v>0</v>
      </c>
      <c r="Q23" s="4">
        <f t="shared" si="33"/>
        <v>0</v>
      </c>
      <c r="R23" s="4">
        <f t="shared" si="33"/>
        <v>0</v>
      </c>
      <c r="S23" s="4">
        <f t="shared" si="33"/>
        <v>0</v>
      </c>
      <c r="T23" s="4">
        <f t="shared" si="33"/>
        <v>0</v>
      </c>
      <c r="U23" s="4">
        <f t="shared" si="33"/>
        <v>0</v>
      </c>
      <c r="V23" s="4">
        <f t="shared" si="33"/>
        <v>0</v>
      </c>
      <c r="W23" s="4">
        <f>副本第1关!AH98</f>
        <v>420</v>
      </c>
      <c r="X23" s="4">
        <f>副本第2关!AH98</f>
        <v>420</v>
      </c>
      <c r="Y23" s="4">
        <f>副本第3关!AH98</f>
        <v>420</v>
      </c>
      <c r="Z23" s="4">
        <f>副本第4关!AH98</f>
        <v>430</v>
      </c>
      <c r="AA23" s="4">
        <f>副本第5关!AH98</f>
        <v>450</v>
      </c>
      <c r="AB23" s="7">
        <f>橙武副本1!AK98</f>
        <v>5970</v>
      </c>
      <c r="AC23" s="4" t="e">
        <f t="shared" si="11"/>
        <v>#DIV/0!</v>
      </c>
      <c r="AD23">
        <f>橙武副本3!AH98</f>
        <v>12840</v>
      </c>
      <c r="AF23" s="4">
        <v>40</v>
      </c>
      <c r="AG23" s="4">
        <f t="shared" si="14"/>
        <v>0</v>
      </c>
      <c r="AH23" s="4">
        <f t="shared" si="12"/>
        <v>6.72749994932561</v>
      </c>
    </row>
    <row r="24" spans="1:34">
      <c r="A24" s="4">
        <v>21</v>
      </c>
      <c r="C24" s="4">
        <f>IF(第1关!AF99=0,C23,第1关!AF99)</f>
        <v>236</v>
      </c>
      <c r="D24" s="4">
        <f>IF(第2关!AF99=0,D23,第2关!AF99)</f>
        <v>839</v>
      </c>
      <c r="E24" s="4">
        <f>第3关!AF99</f>
        <v>0</v>
      </c>
      <c r="F24" s="4">
        <f t="shared" ref="F18:F33" si="34">ROUND(E24*1.24,0)</f>
        <v>0</v>
      </c>
      <c r="G24" s="4">
        <f t="shared" ref="G24:V24" si="35">ROUND(F24*1.24,0)</f>
        <v>0</v>
      </c>
      <c r="H24" s="4">
        <f t="shared" si="35"/>
        <v>0</v>
      </c>
      <c r="I24" s="4">
        <f t="shared" si="35"/>
        <v>0</v>
      </c>
      <c r="J24" s="4">
        <f t="shared" si="35"/>
        <v>0</v>
      </c>
      <c r="K24" s="4">
        <f t="shared" si="35"/>
        <v>0</v>
      </c>
      <c r="L24" s="4">
        <f t="shared" si="35"/>
        <v>0</v>
      </c>
      <c r="M24" s="4">
        <f t="shared" si="35"/>
        <v>0</v>
      </c>
      <c r="N24" s="4">
        <f t="shared" si="35"/>
        <v>0</v>
      </c>
      <c r="O24" s="4">
        <f t="shared" si="35"/>
        <v>0</v>
      </c>
      <c r="P24" s="4">
        <f t="shared" si="35"/>
        <v>0</v>
      </c>
      <c r="Q24" s="4">
        <f t="shared" si="35"/>
        <v>0</v>
      </c>
      <c r="R24" s="4">
        <f t="shared" si="35"/>
        <v>0</v>
      </c>
      <c r="S24" s="4">
        <f t="shared" si="35"/>
        <v>0</v>
      </c>
      <c r="T24" s="4">
        <f t="shared" si="35"/>
        <v>0</v>
      </c>
      <c r="U24" s="4">
        <f t="shared" si="35"/>
        <v>0</v>
      </c>
      <c r="V24" s="4">
        <f t="shared" si="35"/>
        <v>0</v>
      </c>
      <c r="W24" s="4">
        <f>副本第1关!AH99</f>
        <v>948</v>
      </c>
      <c r="X24" s="4">
        <f>副本第2关!AH99</f>
        <v>948</v>
      </c>
      <c r="Y24" s="4">
        <f>副本第3关!AH99</f>
        <v>970</v>
      </c>
      <c r="Z24" s="4">
        <f>副本第4关!AH99</f>
        <v>992</v>
      </c>
      <c r="AA24" s="4">
        <f>副本第5关!AH99</f>
        <v>1014</v>
      </c>
      <c r="AB24" s="7">
        <f>橙武副本1!AK99</f>
        <v>0</v>
      </c>
      <c r="AC24" s="4">
        <f>橙武副本3!AH99</f>
        <v>0</v>
      </c>
      <c r="AD24">
        <f>橙武副本3!AH99</f>
        <v>0</v>
      </c>
      <c r="AF24" s="4">
        <v>41</v>
      </c>
      <c r="AG24" s="4">
        <f t="shared" si="14"/>
        <v>0</v>
      </c>
      <c r="AH24" s="4">
        <f t="shared" si="12"/>
        <v>7.40024994425817</v>
      </c>
    </row>
    <row r="25" spans="1:34">
      <c r="A25" s="4">
        <v>22</v>
      </c>
      <c r="C25" s="4">
        <f>IF(第1关!AF100=0,C24,第1关!AF100)</f>
        <v>236</v>
      </c>
      <c r="D25" s="4">
        <f>IF(第2关!AF100=0,D24,第2关!AF100)</f>
        <v>839</v>
      </c>
      <c r="E25" s="4">
        <f>第3关!AF100</f>
        <v>0</v>
      </c>
      <c r="F25" s="4">
        <f t="shared" si="34"/>
        <v>0</v>
      </c>
      <c r="G25" s="4">
        <f t="shared" ref="G25:V25" si="36">ROUND(F25*1.24,0)</f>
        <v>0</v>
      </c>
      <c r="H25" s="4">
        <f t="shared" si="36"/>
        <v>0</v>
      </c>
      <c r="I25" s="4">
        <f t="shared" si="36"/>
        <v>0</v>
      </c>
      <c r="J25" s="4">
        <f t="shared" si="36"/>
        <v>0</v>
      </c>
      <c r="K25" s="4">
        <f t="shared" si="36"/>
        <v>0</v>
      </c>
      <c r="L25" s="4">
        <f t="shared" si="36"/>
        <v>0</v>
      </c>
      <c r="M25" s="4">
        <f t="shared" si="36"/>
        <v>0</v>
      </c>
      <c r="N25" s="4">
        <f t="shared" si="36"/>
        <v>0</v>
      </c>
      <c r="O25" s="4">
        <f t="shared" si="36"/>
        <v>0</v>
      </c>
      <c r="P25" s="4">
        <f t="shared" si="36"/>
        <v>0</v>
      </c>
      <c r="Q25" s="4">
        <f t="shared" si="36"/>
        <v>0</v>
      </c>
      <c r="R25" s="4">
        <f t="shared" si="36"/>
        <v>0</v>
      </c>
      <c r="S25" s="4">
        <f t="shared" si="36"/>
        <v>0</v>
      </c>
      <c r="T25" s="4">
        <f t="shared" si="36"/>
        <v>0</v>
      </c>
      <c r="U25" s="4">
        <f t="shared" si="36"/>
        <v>0</v>
      </c>
      <c r="V25" s="4">
        <f t="shared" si="36"/>
        <v>0</v>
      </c>
      <c r="W25" s="4">
        <f>副本第1关!AH100</f>
        <v>992</v>
      </c>
      <c r="X25" s="4">
        <f>副本第2关!AH100</f>
        <v>992</v>
      </c>
      <c r="Y25" s="4">
        <f>副本第3关!AH100</f>
        <v>1014</v>
      </c>
      <c r="Z25" s="4">
        <f>副本第4关!AH100</f>
        <v>1036</v>
      </c>
      <c r="AA25" s="4">
        <f>副本第5关!AH100</f>
        <v>1080</v>
      </c>
      <c r="AB25" s="7">
        <f>橙武副本1!AK100</f>
        <v>0</v>
      </c>
      <c r="AC25" s="4">
        <f>橙武副本3!AH100</f>
        <v>0</v>
      </c>
      <c r="AF25" s="4">
        <v>42</v>
      </c>
      <c r="AG25" s="4">
        <f t="shared" si="14"/>
        <v>0</v>
      </c>
      <c r="AH25" s="4">
        <f t="shared" si="12"/>
        <v>8.14027493868399</v>
      </c>
    </row>
    <row r="26" spans="1:34">
      <c r="A26" s="4">
        <v>23</v>
      </c>
      <c r="C26" s="4">
        <f>IF(第1关!AF101=0,C25,第1关!AF101)</f>
        <v>236</v>
      </c>
      <c r="D26" s="4">
        <f>IF(第2关!AF101=0,D25,第2关!AF101)</f>
        <v>839</v>
      </c>
      <c r="E26" s="4">
        <f>第3关!AF101</f>
        <v>0</v>
      </c>
      <c r="F26" s="4">
        <f t="shared" si="34"/>
        <v>0</v>
      </c>
      <c r="G26" s="4">
        <f t="shared" ref="G26:V26" si="37">ROUND(F26*1.24,0)</f>
        <v>0</v>
      </c>
      <c r="H26" s="4">
        <f t="shared" si="37"/>
        <v>0</v>
      </c>
      <c r="I26" s="4">
        <f t="shared" si="37"/>
        <v>0</v>
      </c>
      <c r="J26" s="4">
        <f t="shared" si="37"/>
        <v>0</v>
      </c>
      <c r="K26" s="4">
        <f t="shared" si="37"/>
        <v>0</v>
      </c>
      <c r="L26" s="4">
        <f t="shared" si="37"/>
        <v>0</v>
      </c>
      <c r="M26" s="4">
        <f t="shared" si="37"/>
        <v>0</v>
      </c>
      <c r="N26" s="4">
        <f t="shared" si="37"/>
        <v>0</v>
      </c>
      <c r="O26" s="4">
        <f t="shared" si="37"/>
        <v>0</v>
      </c>
      <c r="P26" s="4">
        <f t="shared" si="37"/>
        <v>0</v>
      </c>
      <c r="Q26" s="4">
        <f t="shared" si="37"/>
        <v>0</v>
      </c>
      <c r="R26" s="4">
        <f t="shared" si="37"/>
        <v>0</v>
      </c>
      <c r="S26" s="4">
        <f t="shared" si="37"/>
        <v>0</v>
      </c>
      <c r="T26" s="4">
        <f t="shared" si="37"/>
        <v>0</v>
      </c>
      <c r="U26" s="4">
        <f t="shared" si="37"/>
        <v>0</v>
      </c>
      <c r="V26" s="4">
        <f t="shared" si="37"/>
        <v>0</v>
      </c>
      <c r="W26" s="4">
        <f>副本第1关!AH101</f>
        <v>1134</v>
      </c>
      <c r="X26" s="4">
        <f>副本第2关!AH101</f>
        <v>1134</v>
      </c>
      <c r="Y26" s="4">
        <f>副本第3关!AH101</f>
        <v>1158</v>
      </c>
      <c r="Z26" s="4">
        <f>副本第4关!AH101</f>
        <v>1181</v>
      </c>
      <c r="AA26" s="4">
        <f>副本第5关!AH101</f>
        <v>1205</v>
      </c>
      <c r="AB26" s="7">
        <f>橙武副本1!AK101</f>
        <v>0</v>
      </c>
      <c r="AC26" s="4">
        <f>橙武副本3!AH101</f>
        <v>0</v>
      </c>
      <c r="AF26" s="4">
        <v>43</v>
      </c>
      <c r="AG26" s="4">
        <f t="shared" si="14"/>
        <v>0</v>
      </c>
      <c r="AH26" s="4">
        <f t="shared" si="12"/>
        <v>8.95430243255239</v>
      </c>
    </row>
    <row r="27" spans="1:34">
      <c r="A27" s="4">
        <v>24</v>
      </c>
      <c r="C27" s="4">
        <f>IF(第1关!AF102=0,C26,第1关!AF102)</f>
        <v>236</v>
      </c>
      <c r="D27" s="4">
        <f>IF(第2关!AF102=0,D26,第2关!AF102)</f>
        <v>839</v>
      </c>
      <c r="E27" s="4">
        <f>第3关!AF102</f>
        <v>0</v>
      </c>
      <c r="F27" s="4">
        <f t="shared" si="34"/>
        <v>0</v>
      </c>
      <c r="G27" s="4">
        <f t="shared" ref="G27:V27" si="38">ROUND(F27*1.24,0)</f>
        <v>0</v>
      </c>
      <c r="H27" s="4">
        <f t="shared" si="38"/>
        <v>0</v>
      </c>
      <c r="I27" s="4">
        <f t="shared" si="38"/>
        <v>0</v>
      </c>
      <c r="J27" s="4">
        <f t="shared" si="38"/>
        <v>0</v>
      </c>
      <c r="K27" s="4">
        <f t="shared" si="38"/>
        <v>0</v>
      </c>
      <c r="L27" s="4">
        <f t="shared" si="38"/>
        <v>0</v>
      </c>
      <c r="M27" s="4">
        <f t="shared" si="38"/>
        <v>0</v>
      </c>
      <c r="N27" s="4">
        <f t="shared" si="38"/>
        <v>0</v>
      </c>
      <c r="O27" s="4">
        <f t="shared" si="38"/>
        <v>0</v>
      </c>
      <c r="P27" s="4">
        <f t="shared" si="38"/>
        <v>0</v>
      </c>
      <c r="Q27" s="4">
        <f t="shared" si="38"/>
        <v>0</v>
      </c>
      <c r="R27" s="4">
        <f t="shared" si="38"/>
        <v>0</v>
      </c>
      <c r="S27" s="4">
        <f t="shared" si="38"/>
        <v>0</v>
      </c>
      <c r="T27" s="4">
        <f t="shared" si="38"/>
        <v>0</v>
      </c>
      <c r="U27" s="4">
        <f t="shared" si="38"/>
        <v>0</v>
      </c>
      <c r="V27" s="4">
        <f t="shared" si="38"/>
        <v>0</v>
      </c>
      <c r="W27" s="4">
        <f>副本第1关!AH102</f>
        <v>1181</v>
      </c>
      <c r="X27" s="4">
        <f>副本第2关!AH102</f>
        <v>1181</v>
      </c>
      <c r="Y27" s="4">
        <f>副本第3关!AH102</f>
        <v>1205</v>
      </c>
      <c r="Z27" s="4">
        <f>副本第4关!AH102</f>
        <v>1229</v>
      </c>
      <c r="AA27" s="4">
        <f>副本第5关!AH102</f>
        <v>1276</v>
      </c>
      <c r="AB27" s="7">
        <f>橙武副本1!AK102</f>
        <v>0</v>
      </c>
      <c r="AC27" s="4">
        <f>橙武副本3!AH102</f>
        <v>0</v>
      </c>
      <c r="AF27" s="4">
        <v>44</v>
      </c>
      <c r="AG27" s="4">
        <f t="shared" si="14"/>
        <v>0</v>
      </c>
      <c r="AH27" s="4">
        <f t="shared" si="12"/>
        <v>9.84973267580763</v>
      </c>
    </row>
    <row r="28" spans="1:34">
      <c r="A28" s="4">
        <v>25</v>
      </c>
      <c r="C28" s="4">
        <f>IF(第1关!AF103=0,C27,第1关!AF103)</f>
        <v>236</v>
      </c>
      <c r="D28" s="4">
        <f>IF(第2关!AF103=0,D27,第2关!AF103)</f>
        <v>839</v>
      </c>
      <c r="E28" s="4">
        <f>第3关!AF103</f>
        <v>0</v>
      </c>
      <c r="F28" s="4">
        <f t="shared" si="34"/>
        <v>0</v>
      </c>
      <c r="G28" s="4">
        <f t="shared" ref="G28:V28" si="39">ROUND(F28*1.24,0)</f>
        <v>0</v>
      </c>
      <c r="H28" s="4">
        <f t="shared" si="39"/>
        <v>0</v>
      </c>
      <c r="I28" s="4">
        <f t="shared" si="39"/>
        <v>0</v>
      </c>
      <c r="J28" s="4">
        <f t="shared" si="39"/>
        <v>0</v>
      </c>
      <c r="K28" s="4">
        <f t="shared" si="39"/>
        <v>0</v>
      </c>
      <c r="L28" s="4">
        <f t="shared" si="39"/>
        <v>0</v>
      </c>
      <c r="M28" s="4">
        <f t="shared" si="39"/>
        <v>0</v>
      </c>
      <c r="N28" s="4">
        <f t="shared" si="39"/>
        <v>0</v>
      </c>
      <c r="O28" s="4">
        <f t="shared" si="39"/>
        <v>0</v>
      </c>
      <c r="P28" s="4">
        <f t="shared" si="39"/>
        <v>0</v>
      </c>
      <c r="Q28" s="4">
        <f t="shared" si="39"/>
        <v>0</v>
      </c>
      <c r="R28" s="4">
        <f t="shared" si="39"/>
        <v>0</v>
      </c>
      <c r="S28" s="4">
        <f t="shared" si="39"/>
        <v>0</v>
      </c>
      <c r="T28" s="4">
        <f t="shared" si="39"/>
        <v>0</v>
      </c>
      <c r="U28" s="4">
        <f t="shared" si="39"/>
        <v>0</v>
      </c>
      <c r="V28" s="4">
        <f t="shared" si="39"/>
        <v>0</v>
      </c>
      <c r="W28" s="4">
        <f>副本第1关!AH103</f>
        <v>710</v>
      </c>
      <c r="X28" s="4">
        <f>副本第2关!AH103</f>
        <v>710</v>
      </c>
      <c r="Y28" s="4">
        <f>副本第3关!AH103</f>
        <v>737</v>
      </c>
      <c r="Z28" s="4">
        <f>副本第4关!AH103</f>
        <v>751</v>
      </c>
      <c r="AA28" s="4">
        <f>副本第5关!AH103</f>
        <v>764</v>
      </c>
      <c r="AB28" s="7">
        <f>橙武副本1!AK103</f>
        <v>0</v>
      </c>
      <c r="AC28" s="4">
        <f>橙武副本3!AH103</f>
        <v>0</v>
      </c>
      <c r="AF28" s="4">
        <v>45</v>
      </c>
      <c r="AG28" s="4">
        <f t="shared" si="14"/>
        <v>0</v>
      </c>
      <c r="AH28" s="4">
        <f t="shared" si="12"/>
        <v>10.8347059433884</v>
      </c>
    </row>
    <row r="29" spans="1:34">
      <c r="A29" s="4">
        <v>26</v>
      </c>
      <c r="C29" s="4">
        <f>IF(第1关!AF104=0,C28,第1关!AF104)</f>
        <v>236</v>
      </c>
      <c r="D29" s="4">
        <f>IF(第2关!AF104=0,D28,第2关!AF104)</f>
        <v>839</v>
      </c>
      <c r="E29" s="4">
        <f>第3关!AF104</f>
        <v>0</v>
      </c>
      <c r="F29" s="4">
        <f t="shared" si="34"/>
        <v>0</v>
      </c>
      <c r="G29" s="4">
        <f t="shared" ref="G29:V29" si="40">ROUND(F29*1.24,0)</f>
        <v>0</v>
      </c>
      <c r="H29" s="4">
        <f t="shared" si="40"/>
        <v>0</v>
      </c>
      <c r="I29" s="4">
        <f t="shared" si="40"/>
        <v>0</v>
      </c>
      <c r="J29" s="4">
        <f t="shared" si="40"/>
        <v>0</v>
      </c>
      <c r="K29" s="4">
        <f t="shared" si="40"/>
        <v>0</v>
      </c>
      <c r="L29" s="4">
        <f t="shared" si="40"/>
        <v>0</v>
      </c>
      <c r="M29" s="4">
        <f t="shared" si="40"/>
        <v>0</v>
      </c>
      <c r="N29" s="4">
        <f t="shared" si="40"/>
        <v>0</v>
      </c>
      <c r="O29" s="4">
        <f t="shared" si="40"/>
        <v>0</v>
      </c>
      <c r="P29" s="4">
        <f t="shared" si="40"/>
        <v>0</v>
      </c>
      <c r="Q29" s="4">
        <f t="shared" si="40"/>
        <v>0</v>
      </c>
      <c r="R29" s="4">
        <f t="shared" si="40"/>
        <v>0</v>
      </c>
      <c r="S29" s="4">
        <f t="shared" si="40"/>
        <v>0</v>
      </c>
      <c r="T29" s="4">
        <f t="shared" si="40"/>
        <v>0</v>
      </c>
      <c r="U29" s="4">
        <f t="shared" si="40"/>
        <v>0</v>
      </c>
      <c r="V29" s="4">
        <f t="shared" si="40"/>
        <v>0</v>
      </c>
      <c r="W29" s="4">
        <f>副本第1关!AH104</f>
        <v>1474</v>
      </c>
      <c r="X29" s="4">
        <f>副本第2关!AH104</f>
        <v>1474</v>
      </c>
      <c r="Y29" s="4">
        <f>副本第3关!AH104</f>
        <v>1529</v>
      </c>
      <c r="Z29" s="4">
        <f>副本第4关!AH104</f>
        <v>1556</v>
      </c>
      <c r="AA29" s="4">
        <f>副本第5关!AH104</f>
        <v>1611</v>
      </c>
      <c r="AB29" s="7">
        <f>橙武副本1!AK104</f>
        <v>0</v>
      </c>
      <c r="AC29" s="4">
        <f>橙武副本3!AH104</f>
        <v>0</v>
      </c>
      <c r="AF29" s="4">
        <v>46</v>
      </c>
      <c r="AG29" s="4">
        <f t="shared" si="14"/>
        <v>0</v>
      </c>
      <c r="AH29" s="4">
        <f t="shared" si="12"/>
        <v>11.9181765377272</v>
      </c>
    </row>
    <row r="30" spans="1:34">
      <c r="A30" s="4">
        <v>27</v>
      </c>
      <c r="C30" s="4">
        <f>IF(第1关!AF105=0,C29,第1关!AF105)</f>
        <v>236</v>
      </c>
      <c r="D30" s="4">
        <f>IF(第2关!AF105=0,D29,第2关!AF105)</f>
        <v>839</v>
      </c>
      <c r="E30" s="4">
        <f>第3关!AF105</f>
        <v>0</v>
      </c>
      <c r="F30" s="4">
        <f t="shared" si="34"/>
        <v>0</v>
      </c>
      <c r="G30" s="4">
        <f t="shared" ref="G30:V30" si="41">ROUND(F30*1.24,0)</f>
        <v>0</v>
      </c>
      <c r="H30" s="4">
        <f t="shared" si="41"/>
        <v>0</v>
      </c>
      <c r="I30" s="4">
        <f t="shared" si="41"/>
        <v>0</v>
      </c>
      <c r="J30" s="4">
        <f t="shared" si="41"/>
        <v>0</v>
      </c>
      <c r="K30" s="4">
        <f t="shared" si="41"/>
        <v>0</v>
      </c>
      <c r="L30" s="4">
        <f t="shared" si="41"/>
        <v>0</v>
      </c>
      <c r="M30" s="4">
        <f t="shared" si="41"/>
        <v>0</v>
      </c>
      <c r="N30" s="4">
        <f t="shared" si="41"/>
        <v>0</v>
      </c>
      <c r="O30" s="4">
        <f t="shared" si="41"/>
        <v>0</v>
      </c>
      <c r="P30" s="4">
        <f t="shared" si="41"/>
        <v>0</v>
      </c>
      <c r="Q30" s="4">
        <f t="shared" si="41"/>
        <v>0</v>
      </c>
      <c r="R30" s="4">
        <f t="shared" si="41"/>
        <v>0</v>
      </c>
      <c r="S30" s="4">
        <f t="shared" si="41"/>
        <v>0</v>
      </c>
      <c r="T30" s="4">
        <f t="shared" si="41"/>
        <v>0</v>
      </c>
      <c r="U30" s="4">
        <f t="shared" si="41"/>
        <v>0</v>
      </c>
      <c r="V30" s="4">
        <f t="shared" si="41"/>
        <v>0</v>
      </c>
      <c r="W30" s="4">
        <f>副本第1关!AH105</f>
        <v>1653</v>
      </c>
      <c r="X30" s="4">
        <f>副本第2关!AH105</f>
        <v>1653</v>
      </c>
      <c r="Y30" s="4">
        <f>副本第3关!AH105</f>
        <v>1711</v>
      </c>
      <c r="Z30" s="4">
        <f>副本第4关!AH105</f>
        <v>1740</v>
      </c>
      <c r="AA30" s="4">
        <f>副本第5关!AH105</f>
        <v>1769</v>
      </c>
      <c r="AB30" s="7">
        <f>橙武副本1!AK105</f>
        <v>0</v>
      </c>
      <c r="AC30" s="4">
        <f>橙武副本3!AH105</f>
        <v>0</v>
      </c>
      <c r="AF30" s="4">
        <v>47</v>
      </c>
      <c r="AG30" s="4">
        <f t="shared" si="14"/>
        <v>0</v>
      </c>
      <c r="AH30" s="4">
        <f t="shared" si="12"/>
        <v>13.1099941915</v>
      </c>
    </row>
    <row r="31" spans="1:34">
      <c r="A31" s="4">
        <v>28</v>
      </c>
      <c r="C31" s="4">
        <f>IF(第1关!AF106=0,C30,第1关!AF106)</f>
        <v>236</v>
      </c>
      <c r="D31" s="4">
        <f>IF(第2关!AF106=0,D30,第2关!AF106)</f>
        <v>839</v>
      </c>
      <c r="E31" s="4">
        <f>第3关!AF106</f>
        <v>0</v>
      </c>
      <c r="F31" s="4">
        <f t="shared" si="34"/>
        <v>0</v>
      </c>
      <c r="G31" s="4">
        <f t="shared" ref="G31:V31" si="42">ROUND(F31*1.24,0)</f>
        <v>0</v>
      </c>
      <c r="H31" s="4">
        <f t="shared" si="42"/>
        <v>0</v>
      </c>
      <c r="I31" s="4">
        <f t="shared" si="42"/>
        <v>0</v>
      </c>
      <c r="J31" s="4">
        <f t="shared" si="42"/>
        <v>0</v>
      </c>
      <c r="K31" s="4">
        <f t="shared" si="42"/>
        <v>0</v>
      </c>
      <c r="L31" s="4">
        <f t="shared" si="42"/>
        <v>0</v>
      </c>
      <c r="M31" s="4">
        <f t="shared" si="42"/>
        <v>0</v>
      </c>
      <c r="N31" s="4">
        <f t="shared" si="42"/>
        <v>0</v>
      </c>
      <c r="O31" s="4">
        <f t="shared" si="42"/>
        <v>0</v>
      </c>
      <c r="P31" s="4">
        <f t="shared" si="42"/>
        <v>0</v>
      </c>
      <c r="Q31" s="4">
        <f t="shared" si="42"/>
        <v>0</v>
      </c>
      <c r="R31" s="4">
        <f t="shared" si="42"/>
        <v>0</v>
      </c>
      <c r="S31" s="4">
        <f t="shared" si="42"/>
        <v>0</v>
      </c>
      <c r="T31" s="4">
        <f t="shared" si="42"/>
        <v>0</v>
      </c>
      <c r="U31" s="4">
        <f t="shared" si="42"/>
        <v>0</v>
      </c>
      <c r="V31" s="4">
        <f t="shared" si="42"/>
        <v>0</v>
      </c>
      <c r="W31" s="4">
        <f>副本第1关!AH106</f>
        <v>1711</v>
      </c>
      <c r="X31" s="4">
        <f>副本第2关!AH106</f>
        <v>1711</v>
      </c>
      <c r="Y31" s="4">
        <f>副本第3关!AH106</f>
        <v>1769</v>
      </c>
      <c r="Z31" s="4">
        <f>副本第4关!AH106</f>
        <v>1798</v>
      </c>
      <c r="AA31" s="4">
        <f>副本第5关!AH106</f>
        <v>1856</v>
      </c>
      <c r="AB31" s="7">
        <f>橙武副本1!AK106</f>
        <v>0</v>
      </c>
      <c r="AC31" s="4">
        <f>橙武副本3!AH106</f>
        <v>0</v>
      </c>
      <c r="AF31" s="4">
        <v>48</v>
      </c>
      <c r="AG31" s="4">
        <f t="shared" si="14"/>
        <v>0</v>
      </c>
      <c r="AH31" s="4">
        <f t="shared" si="12"/>
        <v>14.42099361065</v>
      </c>
    </row>
    <row r="32" spans="1:34">
      <c r="A32" s="4">
        <v>29</v>
      </c>
      <c r="C32" s="4">
        <f>IF(第1关!AF107=0,C31,第1关!AF107)</f>
        <v>236</v>
      </c>
      <c r="D32" s="4">
        <f>IF(第2关!AF107=0,D31,第2关!AF107)</f>
        <v>839</v>
      </c>
      <c r="E32" s="4">
        <f>第3关!AF107</f>
        <v>0</v>
      </c>
      <c r="F32" s="4">
        <f t="shared" si="34"/>
        <v>0</v>
      </c>
      <c r="G32" s="4">
        <f t="shared" ref="G32:V32" si="43">ROUND(F32*1.24,0)</f>
        <v>0</v>
      </c>
      <c r="H32" s="4">
        <f t="shared" si="43"/>
        <v>0</v>
      </c>
      <c r="I32" s="4">
        <f t="shared" si="43"/>
        <v>0</v>
      </c>
      <c r="J32" s="4">
        <f t="shared" si="43"/>
        <v>0</v>
      </c>
      <c r="K32" s="4">
        <f t="shared" si="43"/>
        <v>0</v>
      </c>
      <c r="L32" s="4">
        <f t="shared" si="43"/>
        <v>0</v>
      </c>
      <c r="M32" s="4">
        <f t="shared" si="43"/>
        <v>0</v>
      </c>
      <c r="N32" s="4">
        <f t="shared" si="43"/>
        <v>0</v>
      </c>
      <c r="O32" s="4">
        <f t="shared" si="43"/>
        <v>0</v>
      </c>
      <c r="P32" s="4">
        <f t="shared" si="43"/>
        <v>0</v>
      </c>
      <c r="Q32" s="4">
        <f t="shared" si="43"/>
        <v>0</v>
      </c>
      <c r="R32" s="4">
        <f t="shared" si="43"/>
        <v>0</v>
      </c>
      <c r="S32" s="4">
        <f t="shared" si="43"/>
        <v>0</v>
      </c>
      <c r="T32" s="4">
        <f t="shared" si="43"/>
        <v>0</v>
      </c>
      <c r="U32" s="4">
        <f t="shared" si="43"/>
        <v>0</v>
      </c>
      <c r="V32" s="4">
        <f t="shared" si="43"/>
        <v>0</v>
      </c>
      <c r="W32" s="4">
        <f>副本第1关!AH107</f>
        <v>1873</v>
      </c>
      <c r="X32" s="4">
        <f>副本第2关!AH107</f>
        <v>1873</v>
      </c>
      <c r="Y32" s="4">
        <f>副本第3关!AH107</f>
        <v>1966</v>
      </c>
      <c r="Z32" s="4">
        <f>副本第4关!AH107</f>
        <v>1996</v>
      </c>
      <c r="AA32" s="4">
        <f>副本第5关!AH107</f>
        <v>2027</v>
      </c>
      <c r="AB32" s="7">
        <f>橙武副本1!AK107</f>
        <v>0</v>
      </c>
      <c r="AC32" s="4">
        <f>橙武副本3!AH107</f>
        <v>0</v>
      </c>
      <c r="AF32" s="4">
        <v>49</v>
      </c>
      <c r="AG32" s="4">
        <f t="shared" si="14"/>
        <v>0</v>
      </c>
      <c r="AH32" s="4">
        <f t="shared" si="12"/>
        <v>15.863092971715</v>
      </c>
    </row>
    <row r="33" spans="1:34">
      <c r="A33" s="4">
        <v>30</v>
      </c>
      <c r="C33" s="4">
        <f>IF(第1关!AF108=0,C32,第1关!AF108)</f>
        <v>236</v>
      </c>
      <c r="D33" s="4">
        <f>IF(第2关!AF108=0,D32,第2关!AF108)</f>
        <v>839</v>
      </c>
      <c r="E33" s="4">
        <f>第3关!AF108</f>
        <v>0</v>
      </c>
      <c r="F33" s="4">
        <f t="shared" si="34"/>
        <v>0</v>
      </c>
      <c r="G33" s="4">
        <f t="shared" ref="G33:V33" si="44">ROUND(F33*1.24,0)</f>
        <v>0</v>
      </c>
      <c r="H33" s="4">
        <f t="shared" si="44"/>
        <v>0</v>
      </c>
      <c r="I33" s="4">
        <f t="shared" si="44"/>
        <v>0</v>
      </c>
      <c r="J33" s="4">
        <f t="shared" si="44"/>
        <v>0</v>
      </c>
      <c r="K33" s="4">
        <f t="shared" si="44"/>
        <v>0</v>
      </c>
      <c r="L33" s="4">
        <f t="shared" si="44"/>
        <v>0</v>
      </c>
      <c r="M33" s="4">
        <f t="shared" si="44"/>
        <v>0</v>
      </c>
      <c r="N33" s="4">
        <f t="shared" si="44"/>
        <v>0</v>
      </c>
      <c r="O33" s="4">
        <f t="shared" si="44"/>
        <v>0</v>
      </c>
      <c r="P33" s="4">
        <f t="shared" si="44"/>
        <v>0</v>
      </c>
      <c r="Q33" s="4">
        <f t="shared" si="44"/>
        <v>0</v>
      </c>
      <c r="R33" s="4">
        <f t="shared" si="44"/>
        <v>0</v>
      </c>
      <c r="S33" s="4">
        <f t="shared" si="44"/>
        <v>0</v>
      </c>
      <c r="T33" s="4">
        <f t="shared" si="44"/>
        <v>0</v>
      </c>
      <c r="U33" s="4">
        <f t="shared" si="44"/>
        <v>0</v>
      </c>
      <c r="V33" s="4">
        <f t="shared" si="44"/>
        <v>0</v>
      </c>
      <c r="W33" s="4">
        <f>副本第1关!AH108</f>
        <v>1158</v>
      </c>
      <c r="X33" s="4">
        <f>副本第2关!AH108</f>
        <v>1158</v>
      </c>
      <c r="Y33" s="4">
        <f>副本第3关!AH108</f>
        <v>1213</v>
      </c>
      <c r="Z33" s="4">
        <f>副本第4关!AH108</f>
        <v>1231</v>
      </c>
      <c r="AA33" s="4">
        <f>副本第5关!AH108</f>
        <v>1268</v>
      </c>
      <c r="AB33" s="7">
        <f>橙武副本1!AK108</f>
        <v>0</v>
      </c>
      <c r="AC33" s="4">
        <f>橙武副本3!AH108</f>
        <v>0</v>
      </c>
      <c r="AF33" s="4">
        <v>50</v>
      </c>
      <c r="AG33" s="4">
        <f t="shared" si="14"/>
        <v>0</v>
      </c>
      <c r="AH33" s="4">
        <f t="shared" si="12"/>
        <v>17.4494022688864</v>
      </c>
    </row>
    <row r="34" spans="5:34">
      <c r="E34" s="4">
        <v>136</v>
      </c>
      <c r="F34" s="4">
        <f>ROUND(E34*1.17,0)</f>
        <v>159</v>
      </c>
      <c r="G34" s="4">
        <f t="shared" ref="G34:U34" si="45">ROUND(F34*1.17,0)</f>
        <v>186</v>
      </c>
      <c r="H34" s="4">
        <f t="shared" si="45"/>
        <v>218</v>
      </c>
      <c r="I34" s="4">
        <f t="shared" si="45"/>
        <v>255</v>
      </c>
      <c r="J34" s="4">
        <f t="shared" si="45"/>
        <v>298</v>
      </c>
      <c r="K34" s="4">
        <f t="shared" si="45"/>
        <v>349</v>
      </c>
      <c r="L34" s="4">
        <f t="shared" si="45"/>
        <v>408</v>
      </c>
      <c r="M34" s="4">
        <f t="shared" si="45"/>
        <v>477</v>
      </c>
      <c r="N34" s="4">
        <f t="shared" si="45"/>
        <v>558</v>
      </c>
      <c r="O34" s="4">
        <f t="shared" si="45"/>
        <v>653</v>
      </c>
      <c r="P34" s="4">
        <f t="shared" si="45"/>
        <v>764</v>
      </c>
      <c r="Q34" s="4">
        <f t="shared" si="45"/>
        <v>894</v>
      </c>
      <c r="R34" s="4">
        <f t="shared" si="45"/>
        <v>1046</v>
      </c>
      <c r="S34" s="4">
        <f t="shared" si="45"/>
        <v>1224</v>
      </c>
      <c r="T34" s="4">
        <f t="shared" si="45"/>
        <v>1432</v>
      </c>
      <c r="U34" s="4">
        <f t="shared" si="45"/>
        <v>1675</v>
      </c>
      <c r="V34" s="4">
        <v>2000</v>
      </c>
      <c r="W34">
        <f>副本第1关!AH109</f>
        <v>0</v>
      </c>
      <c r="X34">
        <f>副本第2关!AH109</f>
        <v>0</v>
      </c>
      <c r="Y34">
        <f>副本第3关!AH109</f>
        <v>0</v>
      </c>
      <c r="Z34">
        <f>副本第4关!AH109</f>
        <v>0</v>
      </c>
      <c r="AA34">
        <f>副本第5关!AH109</f>
        <v>0</v>
      </c>
      <c r="AB34" s="7">
        <f>橙武副本1!AK109</f>
        <v>0</v>
      </c>
      <c r="AF34" s="4">
        <v>51</v>
      </c>
      <c r="AG34" s="4">
        <f t="shared" si="14"/>
        <v>0</v>
      </c>
      <c r="AH34" s="4">
        <f t="shared" si="12"/>
        <v>19.1943424957751</v>
      </c>
    </row>
    <row r="35" spans="28:34">
      <c r="AB35" s="7"/>
      <c r="AF35" s="4">
        <v>52</v>
      </c>
      <c r="AG35" s="4">
        <f t="shared" si="14"/>
        <v>0</v>
      </c>
      <c r="AH35" s="4">
        <f t="shared" si="12"/>
        <v>21.1137767453526</v>
      </c>
    </row>
    <row r="36" spans="1:34">
      <c r="A36" s="4" t="s">
        <v>557</v>
      </c>
      <c r="AF36" s="4">
        <v>53</v>
      </c>
      <c r="AG36" s="4">
        <f t="shared" si="14"/>
        <v>0</v>
      </c>
      <c r="AH36" s="4">
        <f t="shared" si="12"/>
        <v>23.2251544198879</v>
      </c>
    </row>
    <row r="37" ht="16.2" spans="1:34">
      <c r="A37" s="2" t="s">
        <v>0</v>
      </c>
      <c r="B37" s="2" t="s">
        <v>502</v>
      </c>
      <c r="C37" s="2" t="s">
        <v>503</v>
      </c>
      <c r="D37" s="2" t="s">
        <v>504</v>
      </c>
      <c r="E37" s="2" t="s">
        <v>505</v>
      </c>
      <c r="F37" s="2" t="s">
        <v>506</v>
      </c>
      <c r="G37" s="2" t="s">
        <v>507</v>
      </c>
      <c r="H37" s="2" t="s">
        <v>508</v>
      </c>
      <c r="I37" s="2" t="s">
        <v>509</v>
      </c>
      <c r="J37" s="2" t="s">
        <v>510</v>
      </c>
      <c r="K37" s="2" t="s">
        <v>511</v>
      </c>
      <c r="L37" s="2" t="s">
        <v>512</v>
      </c>
      <c r="M37" s="2" t="s">
        <v>513</v>
      </c>
      <c r="N37" s="2" t="s">
        <v>514</v>
      </c>
      <c r="O37" s="2" t="s">
        <v>515</v>
      </c>
      <c r="P37" s="2" t="s">
        <v>516</v>
      </c>
      <c r="Q37" s="2" t="s">
        <v>517</v>
      </c>
      <c r="R37" s="2" t="s">
        <v>518</v>
      </c>
      <c r="S37" s="2" t="s">
        <v>519</v>
      </c>
      <c r="T37" s="2" t="s">
        <v>520</v>
      </c>
      <c r="U37" s="2" t="s">
        <v>521</v>
      </c>
      <c r="V37" s="2" t="s">
        <v>522</v>
      </c>
      <c r="X37" t="s">
        <v>523</v>
      </c>
      <c r="Y37">
        <v>25</v>
      </c>
      <c r="AF37" s="4">
        <v>54</v>
      </c>
      <c r="AG37" s="4">
        <f t="shared" si="14"/>
        <v>0</v>
      </c>
      <c r="AH37" s="4">
        <f t="shared" ref="AH37:AH56" si="46">$AD$1^(AF37-20)</f>
        <v>25.5476698618767</v>
      </c>
    </row>
    <row r="38" ht="16.2" spans="1:34">
      <c r="A38" s="2" t="s">
        <v>525</v>
      </c>
      <c r="B38" s="2" t="s">
        <v>525</v>
      </c>
      <c r="C38" s="2" t="s">
        <v>525</v>
      </c>
      <c r="D38" s="2" t="s">
        <v>525</v>
      </c>
      <c r="E38" s="2" t="s">
        <v>525</v>
      </c>
      <c r="F38" s="2" t="s">
        <v>525</v>
      </c>
      <c r="G38" s="2" t="s">
        <v>525</v>
      </c>
      <c r="H38" s="2" t="s">
        <v>525</v>
      </c>
      <c r="I38" s="2" t="s">
        <v>525</v>
      </c>
      <c r="J38" s="2" t="s">
        <v>525</v>
      </c>
      <c r="K38" s="2" t="s">
        <v>525</v>
      </c>
      <c r="L38" s="2" t="s">
        <v>525</v>
      </c>
      <c r="M38" s="2" t="s">
        <v>525</v>
      </c>
      <c r="N38" s="2" t="s">
        <v>525</v>
      </c>
      <c r="O38" s="2" t="s">
        <v>525</v>
      </c>
      <c r="P38" s="2" t="s">
        <v>525</v>
      </c>
      <c r="Q38" s="2" t="s">
        <v>525</v>
      </c>
      <c r="R38" s="2" t="s">
        <v>525</v>
      </c>
      <c r="S38" s="2" t="s">
        <v>525</v>
      </c>
      <c r="T38" s="2" t="s">
        <v>525</v>
      </c>
      <c r="U38" s="2" t="s">
        <v>525</v>
      </c>
      <c r="V38" s="2" t="s">
        <v>525</v>
      </c>
      <c r="AF38" s="4">
        <v>55</v>
      </c>
      <c r="AG38" s="4">
        <f t="shared" ref="AG38:AG56" si="47">ROUND(AG37*$AD$1,0)</f>
        <v>0</v>
      </c>
      <c r="AH38" s="4">
        <f t="shared" si="46"/>
        <v>28.1024368480643</v>
      </c>
    </row>
    <row r="39" ht="16.2" spans="1:34">
      <c r="A39" s="2" t="s">
        <v>528</v>
      </c>
      <c r="B39" s="2" t="s">
        <v>529</v>
      </c>
      <c r="C39" s="2" t="s">
        <v>530</v>
      </c>
      <c r="D39" s="2" t="s">
        <v>531</v>
      </c>
      <c r="E39" s="2" t="s">
        <v>532</v>
      </c>
      <c r="F39" s="2" t="s">
        <v>533</v>
      </c>
      <c r="G39" s="2" t="s">
        <v>534</v>
      </c>
      <c r="H39" s="2" t="s">
        <v>535</v>
      </c>
      <c r="I39" s="2" t="s">
        <v>536</v>
      </c>
      <c r="J39" s="2" t="s">
        <v>537</v>
      </c>
      <c r="K39" s="2" t="s">
        <v>538</v>
      </c>
      <c r="L39" s="2" t="s">
        <v>539</v>
      </c>
      <c r="M39" s="2" t="s">
        <v>540</v>
      </c>
      <c r="N39" s="2" t="s">
        <v>541</v>
      </c>
      <c r="O39" s="2" t="s">
        <v>542</v>
      </c>
      <c r="P39" s="2" t="s">
        <v>543</v>
      </c>
      <c r="Q39" s="2" t="s">
        <v>544</v>
      </c>
      <c r="R39" s="2" t="s">
        <v>545</v>
      </c>
      <c r="S39" s="2" t="s">
        <v>546</v>
      </c>
      <c r="T39" s="2" t="s">
        <v>547</v>
      </c>
      <c r="U39" s="2" t="s">
        <v>548</v>
      </c>
      <c r="V39" s="2" t="s">
        <v>549</v>
      </c>
      <c r="W39" s="2" t="s">
        <v>550</v>
      </c>
      <c r="X39" s="2" t="s">
        <v>551</v>
      </c>
      <c r="Y39" s="2" t="s">
        <v>552</v>
      </c>
      <c r="Z39" s="2" t="s">
        <v>553</v>
      </c>
      <c r="AA39" s="2" t="s">
        <v>554</v>
      </c>
      <c r="AB39" s="2" t="s">
        <v>555</v>
      </c>
      <c r="AF39" s="4">
        <v>56</v>
      </c>
      <c r="AG39" s="4">
        <f t="shared" si="47"/>
        <v>0</v>
      </c>
      <c r="AH39" s="4">
        <f t="shared" si="46"/>
        <v>30.9126805328708</v>
      </c>
    </row>
    <row r="40" spans="1:34">
      <c r="A40" s="4">
        <v>1</v>
      </c>
      <c r="C40" s="4">
        <f>C4</f>
        <v>18</v>
      </c>
      <c r="D40" s="4">
        <f>D4</f>
        <v>5</v>
      </c>
      <c r="E40" s="4">
        <f>E4</f>
        <v>9</v>
      </c>
      <c r="F40" s="4">
        <f>F4</f>
        <v>9</v>
      </c>
      <c r="G40" s="4">
        <f t="shared" ref="G40:U40" si="48">G4</f>
        <v>9</v>
      </c>
      <c r="H40" s="4">
        <f t="shared" si="48"/>
        <v>9</v>
      </c>
      <c r="I40" s="4">
        <f t="shared" si="48"/>
        <v>9</v>
      </c>
      <c r="J40" s="4">
        <f t="shared" si="48"/>
        <v>9</v>
      </c>
      <c r="K40" s="4">
        <f t="shared" si="48"/>
        <v>9</v>
      </c>
      <c r="L40" s="4">
        <f t="shared" si="48"/>
        <v>9</v>
      </c>
      <c r="M40" s="4">
        <f t="shared" si="48"/>
        <v>9</v>
      </c>
      <c r="N40" s="4">
        <f t="shared" si="48"/>
        <v>9</v>
      </c>
      <c r="O40" s="4">
        <f t="shared" si="48"/>
        <v>9</v>
      </c>
      <c r="P40" s="4">
        <f t="shared" si="48"/>
        <v>9</v>
      </c>
      <c r="Q40" s="4">
        <f t="shared" si="48"/>
        <v>9</v>
      </c>
      <c r="R40" s="4">
        <f t="shared" si="48"/>
        <v>9</v>
      </c>
      <c r="S40" s="4">
        <f t="shared" si="48"/>
        <v>9</v>
      </c>
      <c r="T40" s="4">
        <f t="shared" si="48"/>
        <v>9</v>
      </c>
      <c r="U40" s="4">
        <f t="shared" si="48"/>
        <v>9</v>
      </c>
      <c r="V40" s="4">
        <v>11</v>
      </c>
      <c r="W40" s="4">
        <f t="shared" ref="W40:AB40" si="49">W4</f>
        <v>18</v>
      </c>
      <c r="X40" s="4">
        <f t="shared" si="49"/>
        <v>18</v>
      </c>
      <c r="Y40" s="4">
        <f t="shared" si="49"/>
        <v>18</v>
      </c>
      <c r="Z40" s="4">
        <f t="shared" si="49"/>
        <v>18</v>
      </c>
      <c r="AA40" s="4">
        <f t="shared" si="49"/>
        <v>18</v>
      </c>
      <c r="AB40" s="4">
        <f t="shared" si="49"/>
        <v>15</v>
      </c>
      <c r="AF40" s="4">
        <v>57</v>
      </c>
      <c r="AG40" s="4">
        <f t="shared" si="47"/>
        <v>0</v>
      </c>
      <c r="AH40" s="4">
        <f t="shared" si="46"/>
        <v>34.0039485861578</v>
      </c>
    </row>
    <row r="41" spans="1:34">
      <c r="A41" s="4">
        <v>2</v>
      </c>
      <c r="C41" s="4">
        <f t="shared" ref="C41:C71" si="50">C5</f>
        <v>44</v>
      </c>
      <c r="D41" s="4">
        <f t="shared" ref="D41:D71" si="51">D5</f>
        <v>20</v>
      </c>
      <c r="E41" s="4">
        <f t="shared" ref="E41:E71" si="52">E5</f>
        <v>24</v>
      </c>
      <c r="F41" s="4">
        <f t="shared" ref="F41:F70" si="53">F5</f>
        <v>24</v>
      </c>
      <c r="G41" s="4">
        <f t="shared" ref="G41:G70" si="54">G5</f>
        <v>24</v>
      </c>
      <c r="H41" s="4">
        <f t="shared" ref="H41:H70" si="55">H5</f>
        <v>24</v>
      </c>
      <c r="I41" s="4">
        <f t="shared" ref="I41:I70" si="56">I5</f>
        <v>24</v>
      </c>
      <c r="J41" s="4">
        <f t="shared" ref="J41:J70" si="57">J5</f>
        <v>24</v>
      </c>
      <c r="K41" s="4">
        <f t="shared" ref="K41:K70" si="58">K5</f>
        <v>24</v>
      </c>
      <c r="L41" s="4">
        <f t="shared" ref="L41:L70" si="59">L5</f>
        <v>24</v>
      </c>
      <c r="M41" s="4">
        <f t="shared" ref="M41:M70" si="60">M5</f>
        <v>24</v>
      </c>
      <c r="N41" s="4">
        <f t="shared" ref="N41:N70" si="61">N5</f>
        <v>24</v>
      </c>
      <c r="O41" s="4">
        <f t="shared" ref="O41:O70" si="62">O5</f>
        <v>24</v>
      </c>
      <c r="P41" s="4">
        <f t="shared" ref="P41:P70" si="63">P5</f>
        <v>24</v>
      </c>
      <c r="Q41" s="4">
        <f t="shared" ref="Q41:Q70" si="64">Q5</f>
        <v>24</v>
      </c>
      <c r="R41" s="4">
        <f t="shared" ref="R41:R70" si="65">R5</f>
        <v>24</v>
      </c>
      <c r="S41" s="4">
        <f t="shared" ref="S41:S70" si="66">S5</f>
        <v>24</v>
      </c>
      <c r="T41" s="4">
        <f t="shared" ref="T41:T70" si="67">T5</f>
        <v>24</v>
      </c>
      <c r="U41" s="4">
        <f t="shared" ref="U41:U70" si="68">U5</f>
        <v>24</v>
      </c>
      <c r="V41" s="4">
        <v>21</v>
      </c>
      <c r="W41" s="4">
        <f t="shared" ref="W41:W71" si="69">W5</f>
        <v>37</v>
      </c>
      <c r="X41" s="4">
        <f t="shared" ref="X41:X71" si="70">X5</f>
        <v>37</v>
      </c>
      <c r="Y41" s="4">
        <f t="shared" ref="Y41:Y71" si="71">Y5</f>
        <v>37</v>
      </c>
      <c r="Z41" s="4">
        <f t="shared" ref="Z41:Z71" si="72">Z5</f>
        <v>37</v>
      </c>
      <c r="AA41" s="4">
        <f t="shared" ref="AA41:AA71" si="73">AA5</f>
        <v>37</v>
      </c>
      <c r="AB41" s="4">
        <f t="shared" ref="AB41:AB71" si="74">AB5</f>
        <v>35</v>
      </c>
      <c r="AF41" s="4">
        <v>58</v>
      </c>
      <c r="AG41" s="4">
        <f t="shared" si="47"/>
        <v>0</v>
      </c>
      <c r="AH41" s="4">
        <f t="shared" si="46"/>
        <v>37.4043434447736</v>
      </c>
    </row>
    <row r="42" spans="1:34">
      <c r="A42" s="4">
        <v>3</v>
      </c>
      <c r="C42" s="4">
        <f t="shared" si="50"/>
        <v>88</v>
      </c>
      <c r="D42" s="4">
        <f t="shared" si="51"/>
        <v>70</v>
      </c>
      <c r="E42" s="4">
        <f t="shared" si="52"/>
        <v>76</v>
      </c>
      <c r="F42" s="4">
        <f t="shared" si="53"/>
        <v>76</v>
      </c>
      <c r="G42" s="4">
        <f t="shared" si="54"/>
        <v>76</v>
      </c>
      <c r="H42" s="4">
        <f t="shared" si="55"/>
        <v>76</v>
      </c>
      <c r="I42" s="4">
        <f t="shared" si="56"/>
        <v>76</v>
      </c>
      <c r="J42" s="4">
        <f t="shared" si="57"/>
        <v>76</v>
      </c>
      <c r="K42" s="4">
        <f t="shared" si="58"/>
        <v>76</v>
      </c>
      <c r="L42" s="4">
        <f t="shared" si="59"/>
        <v>76</v>
      </c>
      <c r="M42" s="4">
        <f t="shared" si="60"/>
        <v>76</v>
      </c>
      <c r="N42" s="4">
        <f t="shared" si="61"/>
        <v>76</v>
      </c>
      <c r="O42" s="4">
        <f t="shared" si="62"/>
        <v>76</v>
      </c>
      <c r="P42" s="4">
        <f t="shared" si="63"/>
        <v>76</v>
      </c>
      <c r="Q42" s="4">
        <f t="shared" si="64"/>
        <v>76</v>
      </c>
      <c r="R42" s="4">
        <f t="shared" si="65"/>
        <v>76</v>
      </c>
      <c r="S42" s="4">
        <f t="shared" si="66"/>
        <v>76</v>
      </c>
      <c r="T42" s="4">
        <f t="shared" si="67"/>
        <v>76</v>
      </c>
      <c r="U42" s="4">
        <f t="shared" si="68"/>
        <v>76</v>
      </c>
      <c r="V42" s="4">
        <v>53</v>
      </c>
      <c r="W42" s="4">
        <f t="shared" si="69"/>
        <v>63</v>
      </c>
      <c r="X42" s="4">
        <f t="shared" si="70"/>
        <v>63</v>
      </c>
      <c r="Y42" s="4">
        <f t="shared" si="71"/>
        <v>63</v>
      </c>
      <c r="Z42" s="4">
        <f t="shared" si="72"/>
        <v>63</v>
      </c>
      <c r="AA42" s="4">
        <f t="shared" si="73"/>
        <v>63</v>
      </c>
      <c r="AB42" s="4">
        <f t="shared" si="74"/>
        <v>71</v>
      </c>
      <c r="AF42" s="4">
        <v>59</v>
      </c>
      <c r="AG42" s="4">
        <f t="shared" si="47"/>
        <v>0</v>
      </c>
      <c r="AH42" s="4">
        <f t="shared" si="46"/>
        <v>41.144777789251</v>
      </c>
    </row>
    <row r="43" spans="1:34">
      <c r="A43" s="4">
        <v>4</v>
      </c>
      <c r="C43" s="4">
        <f t="shared" si="50"/>
        <v>58</v>
      </c>
      <c r="D43" s="4">
        <f t="shared" si="51"/>
        <v>102</v>
      </c>
      <c r="E43" s="4">
        <f t="shared" si="52"/>
        <v>64</v>
      </c>
      <c r="F43" s="4">
        <f t="shared" si="53"/>
        <v>64</v>
      </c>
      <c r="G43" s="4">
        <f t="shared" si="54"/>
        <v>64</v>
      </c>
      <c r="H43" s="4">
        <f t="shared" si="55"/>
        <v>64</v>
      </c>
      <c r="I43" s="4">
        <f t="shared" si="56"/>
        <v>64</v>
      </c>
      <c r="J43" s="4">
        <f t="shared" si="57"/>
        <v>64</v>
      </c>
      <c r="K43" s="4">
        <f t="shared" si="58"/>
        <v>64</v>
      </c>
      <c r="L43" s="4">
        <f t="shared" si="59"/>
        <v>64</v>
      </c>
      <c r="M43" s="4">
        <f t="shared" si="60"/>
        <v>64</v>
      </c>
      <c r="N43" s="4">
        <f t="shared" si="61"/>
        <v>64</v>
      </c>
      <c r="O43" s="4">
        <f t="shared" si="62"/>
        <v>64</v>
      </c>
      <c r="P43" s="4">
        <f t="shared" si="63"/>
        <v>64</v>
      </c>
      <c r="Q43" s="4">
        <f t="shared" si="64"/>
        <v>64</v>
      </c>
      <c r="R43" s="4">
        <f t="shared" si="65"/>
        <v>64</v>
      </c>
      <c r="S43" s="4">
        <f t="shared" si="66"/>
        <v>64</v>
      </c>
      <c r="T43" s="4">
        <f t="shared" si="67"/>
        <v>64</v>
      </c>
      <c r="U43" s="4">
        <f t="shared" si="68"/>
        <v>64</v>
      </c>
      <c r="V43" s="4">
        <v>210</v>
      </c>
      <c r="W43" s="4">
        <f t="shared" si="69"/>
        <v>74</v>
      </c>
      <c r="X43" s="4">
        <f t="shared" si="70"/>
        <v>74</v>
      </c>
      <c r="Y43" s="4">
        <f t="shared" si="71"/>
        <v>74</v>
      </c>
      <c r="Z43" s="4">
        <f t="shared" si="72"/>
        <v>74</v>
      </c>
      <c r="AA43" s="4">
        <f t="shared" si="73"/>
        <v>74</v>
      </c>
      <c r="AB43" s="4">
        <f t="shared" si="74"/>
        <v>143</v>
      </c>
      <c r="AF43" s="4">
        <v>60</v>
      </c>
      <c r="AG43" s="4">
        <f t="shared" si="47"/>
        <v>0</v>
      </c>
      <c r="AH43" s="4">
        <f t="shared" si="46"/>
        <v>45.2592555681761</v>
      </c>
    </row>
    <row r="44" spans="1:34">
      <c r="A44" s="4">
        <v>5</v>
      </c>
      <c r="C44" s="4">
        <f t="shared" si="50"/>
        <v>140</v>
      </c>
      <c r="D44" s="4">
        <f t="shared" si="51"/>
        <v>106</v>
      </c>
      <c r="E44" s="4">
        <f t="shared" si="52"/>
        <v>228</v>
      </c>
      <c r="F44" s="4">
        <f t="shared" si="53"/>
        <v>228</v>
      </c>
      <c r="G44" s="4">
        <f t="shared" si="54"/>
        <v>228</v>
      </c>
      <c r="H44" s="4">
        <f t="shared" si="55"/>
        <v>228</v>
      </c>
      <c r="I44" s="4">
        <f t="shared" si="56"/>
        <v>228</v>
      </c>
      <c r="J44" s="4">
        <f t="shared" si="57"/>
        <v>228</v>
      </c>
      <c r="K44" s="4">
        <f t="shared" si="58"/>
        <v>228</v>
      </c>
      <c r="L44" s="4">
        <f t="shared" si="59"/>
        <v>228</v>
      </c>
      <c r="M44" s="4">
        <f t="shared" si="60"/>
        <v>228</v>
      </c>
      <c r="N44" s="4">
        <f t="shared" si="61"/>
        <v>274</v>
      </c>
      <c r="O44" s="4">
        <f t="shared" si="62"/>
        <v>329</v>
      </c>
      <c r="P44" s="4">
        <f t="shared" si="63"/>
        <v>395</v>
      </c>
      <c r="Q44" s="4">
        <f t="shared" si="64"/>
        <v>474</v>
      </c>
      <c r="R44" s="4">
        <f t="shared" si="65"/>
        <v>569</v>
      </c>
      <c r="S44" s="4">
        <f t="shared" si="66"/>
        <v>683</v>
      </c>
      <c r="T44" s="4">
        <f t="shared" si="67"/>
        <v>820</v>
      </c>
      <c r="U44" s="4">
        <f t="shared" si="68"/>
        <v>984</v>
      </c>
      <c r="V44" s="4">
        <v>200</v>
      </c>
      <c r="W44" s="4">
        <f t="shared" si="69"/>
        <v>53</v>
      </c>
      <c r="X44" s="4">
        <f t="shared" si="70"/>
        <v>53</v>
      </c>
      <c r="Y44" s="4">
        <f t="shared" si="71"/>
        <v>53</v>
      </c>
      <c r="Z44" s="4">
        <f t="shared" si="72"/>
        <v>53</v>
      </c>
      <c r="AA44" s="4">
        <f t="shared" si="73"/>
        <v>53</v>
      </c>
      <c r="AB44" s="4">
        <f t="shared" si="74"/>
        <v>240</v>
      </c>
      <c r="AF44" s="4">
        <v>61</v>
      </c>
      <c r="AG44" s="4">
        <f t="shared" si="47"/>
        <v>0</v>
      </c>
      <c r="AH44" s="4">
        <f t="shared" si="46"/>
        <v>49.7851811249937</v>
      </c>
    </row>
    <row r="45" s="30" customFormat="1" spans="1:34">
      <c r="A45" s="32">
        <v>6</v>
      </c>
      <c r="B45" s="32"/>
      <c r="C45" s="32">
        <f t="shared" si="50"/>
        <v>198</v>
      </c>
      <c r="D45" s="32">
        <v>151</v>
      </c>
      <c r="E45" s="32">
        <f t="shared" si="52"/>
        <v>324</v>
      </c>
      <c r="F45" s="32">
        <f t="shared" si="53"/>
        <v>324</v>
      </c>
      <c r="G45" s="32">
        <f t="shared" si="54"/>
        <v>324</v>
      </c>
      <c r="H45" s="32">
        <f t="shared" si="55"/>
        <v>324</v>
      </c>
      <c r="I45" s="32">
        <f t="shared" si="56"/>
        <v>324</v>
      </c>
      <c r="J45" s="32">
        <f t="shared" si="57"/>
        <v>324</v>
      </c>
      <c r="K45" s="32">
        <f t="shared" si="58"/>
        <v>324</v>
      </c>
      <c r="L45" s="32">
        <f t="shared" si="59"/>
        <v>324</v>
      </c>
      <c r="M45" s="32">
        <f t="shared" si="60"/>
        <v>324</v>
      </c>
      <c r="N45" s="32">
        <f t="shared" si="61"/>
        <v>389</v>
      </c>
      <c r="O45" s="32">
        <f t="shared" si="62"/>
        <v>467</v>
      </c>
      <c r="P45" s="32">
        <f t="shared" si="63"/>
        <v>560</v>
      </c>
      <c r="Q45" s="32">
        <f t="shared" si="64"/>
        <v>672</v>
      </c>
      <c r="R45" s="32">
        <f t="shared" si="65"/>
        <v>806</v>
      </c>
      <c r="S45" s="32">
        <f t="shared" si="66"/>
        <v>967</v>
      </c>
      <c r="T45" s="32">
        <f t="shared" si="67"/>
        <v>1160</v>
      </c>
      <c r="U45" s="32">
        <f t="shared" si="68"/>
        <v>1392</v>
      </c>
      <c r="V45" s="32">
        <v>596</v>
      </c>
      <c r="W45" s="32">
        <f t="shared" si="69"/>
        <v>130</v>
      </c>
      <c r="X45" s="32">
        <f t="shared" si="70"/>
        <v>130</v>
      </c>
      <c r="Y45" s="32">
        <f t="shared" si="71"/>
        <v>130</v>
      </c>
      <c r="Z45" s="32">
        <f t="shared" si="72"/>
        <v>130</v>
      </c>
      <c r="AA45" s="32">
        <f t="shared" si="73"/>
        <v>130</v>
      </c>
      <c r="AB45" s="32">
        <f t="shared" si="74"/>
        <v>368</v>
      </c>
      <c r="AF45" s="4">
        <v>62</v>
      </c>
      <c r="AG45" s="4">
        <f t="shared" si="47"/>
        <v>0</v>
      </c>
      <c r="AH45" s="4">
        <f t="shared" si="46"/>
        <v>54.7636992374931</v>
      </c>
    </row>
    <row r="46" s="30" customFormat="1" spans="1:34">
      <c r="A46" s="32">
        <v>7</v>
      </c>
      <c r="B46" s="32"/>
      <c r="C46" s="32">
        <f t="shared" si="50"/>
        <v>236</v>
      </c>
      <c r="D46" s="32">
        <v>256</v>
      </c>
      <c r="E46" s="32">
        <f t="shared" si="52"/>
        <v>389</v>
      </c>
      <c r="F46" s="32">
        <f t="shared" si="53"/>
        <v>389</v>
      </c>
      <c r="G46" s="32">
        <f t="shared" si="54"/>
        <v>389</v>
      </c>
      <c r="H46" s="32">
        <f t="shared" si="55"/>
        <v>389</v>
      </c>
      <c r="I46" s="32">
        <f t="shared" si="56"/>
        <v>389</v>
      </c>
      <c r="J46" s="32">
        <f t="shared" si="57"/>
        <v>389</v>
      </c>
      <c r="K46" s="32">
        <f t="shared" si="58"/>
        <v>389</v>
      </c>
      <c r="L46" s="32">
        <f t="shared" si="59"/>
        <v>389</v>
      </c>
      <c r="M46" s="32">
        <f t="shared" si="60"/>
        <v>389</v>
      </c>
      <c r="N46" s="32">
        <f t="shared" si="61"/>
        <v>467</v>
      </c>
      <c r="O46" s="32">
        <f t="shared" si="62"/>
        <v>560</v>
      </c>
      <c r="P46" s="32">
        <f t="shared" si="63"/>
        <v>672</v>
      </c>
      <c r="Q46" s="32">
        <f t="shared" si="64"/>
        <v>806</v>
      </c>
      <c r="R46" s="32">
        <f t="shared" si="65"/>
        <v>967</v>
      </c>
      <c r="S46" s="32">
        <f t="shared" si="66"/>
        <v>1160</v>
      </c>
      <c r="T46" s="32">
        <f t="shared" si="67"/>
        <v>1392</v>
      </c>
      <c r="U46" s="32">
        <f t="shared" si="68"/>
        <v>1670</v>
      </c>
      <c r="V46" s="32">
        <v>1158</v>
      </c>
      <c r="W46" s="32">
        <f t="shared" si="69"/>
        <v>154</v>
      </c>
      <c r="X46" s="32">
        <f t="shared" si="70"/>
        <v>154</v>
      </c>
      <c r="Y46" s="32">
        <f t="shared" si="71"/>
        <v>154</v>
      </c>
      <c r="Z46" s="32">
        <f t="shared" si="72"/>
        <v>154</v>
      </c>
      <c r="AA46" s="32">
        <f t="shared" si="73"/>
        <v>154</v>
      </c>
      <c r="AB46" s="32">
        <f t="shared" si="74"/>
        <v>547</v>
      </c>
      <c r="AF46" s="4">
        <v>63</v>
      </c>
      <c r="AG46" s="4">
        <f t="shared" si="47"/>
        <v>0</v>
      </c>
      <c r="AH46" s="4">
        <f t="shared" si="46"/>
        <v>60.2400691612424</v>
      </c>
    </row>
    <row r="47" s="30" customFormat="1" spans="1:34">
      <c r="A47" s="32">
        <v>8</v>
      </c>
      <c r="B47" s="32"/>
      <c r="C47" s="32">
        <f t="shared" si="50"/>
        <v>236</v>
      </c>
      <c r="D47" s="32">
        <v>376</v>
      </c>
      <c r="E47" s="32">
        <f t="shared" si="52"/>
        <v>343</v>
      </c>
      <c r="F47" s="32">
        <f t="shared" si="53"/>
        <v>343</v>
      </c>
      <c r="G47" s="32">
        <f t="shared" si="54"/>
        <v>343</v>
      </c>
      <c r="H47" s="32">
        <f t="shared" si="55"/>
        <v>343</v>
      </c>
      <c r="I47" s="32">
        <f t="shared" si="56"/>
        <v>343</v>
      </c>
      <c r="J47" s="32">
        <f t="shared" si="57"/>
        <v>343</v>
      </c>
      <c r="K47" s="32">
        <f t="shared" si="58"/>
        <v>343</v>
      </c>
      <c r="L47" s="32">
        <f t="shared" si="59"/>
        <v>412</v>
      </c>
      <c r="M47" s="32">
        <f t="shared" si="60"/>
        <v>494</v>
      </c>
      <c r="N47" s="32">
        <f t="shared" si="61"/>
        <v>593</v>
      </c>
      <c r="O47" s="32">
        <f t="shared" si="62"/>
        <v>712</v>
      </c>
      <c r="P47" s="32">
        <f t="shared" si="63"/>
        <v>854</v>
      </c>
      <c r="Q47" s="32">
        <f t="shared" si="64"/>
        <v>1025</v>
      </c>
      <c r="R47" s="32">
        <f t="shared" si="65"/>
        <v>1230</v>
      </c>
      <c r="S47" s="32">
        <f t="shared" si="66"/>
        <v>1476</v>
      </c>
      <c r="T47" s="32">
        <f t="shared" si="67"/>
        <v>1771</v>
      </c>
      <c r="U47" s="32">
        <f t="shared" si="68"/>
        <v>2125</v>
      </c>
      <c r="V47" s="32">
        <v>2326</v>
      </c>
      <c r="W47" s="32">
        <f t="shared" si="69"/>
        <v>165</v>
      </c>
      <c r="X47" s="32">
        <f t="shared" si="70"/>
        <v>165</v>
      </c>
      <c r="Y47" s="32">
        <f t="shared" si="71"/>
        <v>165</v>
      </c>
      <c r="Z47" s="32">
        <f t="shared" si="72"/>
        <v>165</v>
      </c>
      <c r="AA47" s="32">
        <f t="shared" si="73"/>
        <v>165</v>
      </c>
      <c r="AB47" s="32">
        <f t="shared" si="74"/>
        <v>741</v>
      </c>
      <c r="AF47" s="4">
        <v>64</v>
      </c>
      <c r="AG47" s="4">
        <f t="shared" si="47"/>
        <v>0</v>
      </c>
      <c r="AH47" s="4">
        <f t="shared" si="46"/>
        <v>66.2640760773667</v>
      </c>
    </row>
    <row r="48" s="30" customFormat="1" spans="1:34">
      <c r="A48" s="32">
        <v>9</v>
      </c>
      <c r="B48" s="32"/>
      <c r="C48" s="32">
        <f t="shared" si="50"/>
        <v>236</v>
      </c>
      <c r="D48" s="32">
        <v>503</v>
      </c>
      <c r="E48" s="32">
        <f t="shared" si="52"/>
        <v>722</v>
      </c>
      <c r="F48" s="32">
        <f t="shared" si="53"/>
        <v>722</v>
      </c>
      <c r="G48" s="32">
        <f t="shared" si="54"/>
        <v>722</v>
      </c>
      <c r="H48" s="32">
        <f t="shared" si="55"/>
        <v>722</v>
      </c>
      <c r="I48" s="32">
        <f t="shared" si="56"/>
        <v>722</v>
      </c>
      <c r="J48" s="32">
        <f t="shared" si="57"/>
        <v>866</v>
      </c>
      <c r="K48" s="32">
        <f t="shared" si="58"/>
        <v>1039</v>
      </c>
      <c r="L48" s="32">
        <f t="shared" si="59"/>
        <v>1247</v>
      </c>
      <c r="M48" s="32">
        <f t="shared" si="60"/>
        <v>1496</v>
      </c>
      <c r="N48" s="32">
        <f t="shared" si="61"/>
        <v>1795</v>
      </c>
      <c r="O48" s="32">
        <f t="shared" si="62"/>
        <v>2154</v>
      </c>
      <c r="P48" s="32">
        <f t="shared" si="63"/>
        <v>2585</v>
      </c>
      <c r="Q48" s="32">
        <f t="shared" si="64"/>
        <v>3102</v>
      </c>
      <c r="R48" s="32">
        <f t="shared" si="65"/>
        <v>3722</v>
      </c>
      <c r="S48" s="32">
        <f t="shared" si="66"/>
        <v>4466</v>
      </c>
      <c r="T48" s="32">
        <f t="shared" si="67"/>
        <v>5359</v>
      </c>
      <c r="U48" s="32">
        <f t="shared" si="68"/>
        <v>6431</v>
      </c>
      <c r="V48" s="32">
        <v>3485</v>
      </c>
      <c r="W48" s="32">
        <f t="shared" si="69"/>
        <v>189</v>
      </c>
      <c r="X48" s="32">
        <f t="shared" si="70"/>
        <v>189</v>
      </c>
      <c r="Y48" s="32">
        <f t="shared" si="71"/>
        <v>189</v>
      </c>
      <c r="Z48" s="32">
        <f t="shared" si="72"/>
        <v>189</v>
      </c>
      <c r="AA48" s="32">
        <f t="shared" si="73"/>
        <v>189</v>
      </c>
      <c r="AB48" s="32">
        <f t="shared" si="74"/>
        <v>849</v>
      </c>
      <c r="AF48" s="4">
        <v>65</v>
      </c>
      <c r="AG48" s="4">
        <f t="shared" si="47"/>
        <v>0</v>
      </c>
      <c r="AH48" s="4">
        <f t="shared" si="46"/>
        <v>72.8904836851033</v>
      </c>
    </row>
    <row r="49" s="31" customFormat="1" spans="1:34">
      <c r="A49" s="33">
        <v>10</v>
      </c>
      <c r="B49" s="33"/>
      <c r="C49" s="33">
        <f t="shared" si="50"/>
        <v>236</v>
      </c>
      <c r="D49" s="33">
        <v>461</v>
      </c>
      <c r="E49" s="33">
        <f t="shared" si="52"/>
        <v>1010</v>
      </c>
      <c r="F49" s="33">
        <f t="shared" si="53"/>
        <v>1212</v>
      </c>
      <c r="G49" s="33">
        <f t="shared" si="54"/>
        <v>1454</v>
      </c>
      <c r="H49" s="33">
        <f t="shared" si="55"/>
        <v>1745</v>
      </c>
      <c r="I49" s="33">
        <f t="shared" si="56"/>
        <v>2094</v>
      </c>
      <c r="J49" s="33">
        <f t="shared" si="57"/>
        <v>2513</v>
      </c>
      <c r="K49" s="33">
        <f t="shared" si="58"/>
        <v>3016</v>
      </c>
      <c r="L49" s="33">
        <f t="shared" si="59"/>
        <v>3619</v>
      </c>
      <c r="M49" s="33">
        <f t="shared" si="60"/>
        <v>4343</v>
      </c>
      <c r="N49" s="33">
        <f t="shared" si="61"/>
        <v>5212</v>
      </c>
      <c r="O49" s="33">
        <f t="shared" si="62"/>
        <v>6254</v>
      </c>
      <c r="P49" s="33">
        <f t="shared" si="63"/>
        <v>7505</v>
      </c>
      <c r="Q49" s="33">
        <f t="shared" si="64"/>
        <v>9006</v>
      </c>
      <c r="R49" s="33">
        <f t="shared" si="65"/>
        <v>10807</v>
      </c>
      <c r="S49" s="33">
        <f t="shared" si="66"/>
        <v>12968</v>
      </c>
      <c r="T49" s="33">
        <f t="shared" si="67"/>
        <v>15562</v>
      </c>
      <c r="U49" s="33">
        <f t="shared" si="68"/>
        <v>18674</v>
      </c>
      <c r="V49" s="33">
        <v>2866</v>
      </c>
      <c r="W49" s="33">
        <f t="shared" si="69"/>
        <v>118</v>
      </c>
      <c r="X49" s="33">
        <f t="shared" si="70"/>
        <v>118</v>
      </c>
      <c r="Y49" s="33">
        <f t="shared" si="71"/>
        <v>118</v>
      </c>
      <c r="Z49" s="33">
        <f t="shared" si="72"/>
        <v>118</v>
      </c>
      <c r="AA49" s="33">
        <f t="shared" si="73"/>
        <v>125</v>
      </c>
      <c r="AB49" s="33">
        <f t="shared" si="74"/>
        <v>1160</v>
      </c>
      <c r="AF49" s="4">
        <v>66</v>
      </c>
      <c r="AG49" s="4">
        <f t="shared" si="47"/>
        <v>0</v>
      </c>
      <c r="AH49" s="4">
        <f t="shared" si="46"/>
        <v>80.1795320536137</v>
      </c>
    </row>
    <row r="50" s="30" customFormat="1" spans="1:34">
      <c r="A50" s="32">
        <v>11</v>
      </c>
      <c r="B50" s="32"/>
      <c r="C50" s="32">
        <f t="shared" si="50"/>
        <v>236</v>
      </c>
      <c r="D50" s="32">
        <v>623</v>
      </c>
      <c r="E50" s="32">
        <f t="shared" si="52"/>
        <v>1319</v>
      </c>
      <c r="F50" s="32">
        <f t="shared" si="53"/>
        <v>1583</v>
      </c>
      <c r="G50" s="32">
        <f t="shared" si="54"/>
        <v>1900</v>
      </c>
      <c r="H50" s="32">
        <f t="shared" si="55"/>
        <v>2280</v>
      </c>
      <c r="I50" s="32">
        <f t="shared" si="56"/>
        <v>2736</v>
      </c>
      <c r="J50" s="32">
        <f t="shared" si="57"/>
        <v>3283</v>
      </c>
      <c r="K50" s="32">
        <f t="shared" si="58"/>
        <v>3940</v>
      </c>
      <c r="L50" s="32">
        <f t="shared" si="59"/>
        <v>4728</v>
      </c>
      <c r="M50" s="32">
        <f t="shared" si="60"/>
        <v>5674</v>
      </c>
      <c r="N50" s="32">
        <f t="shared" si="61"/>
        <v>6809</v>
      </c>
      <c r="O50" s="32">
        <f t="shared" si="62"/>
        <v>8171</v>
      </c>
      <c r="P50" s="32">
        <f t="shared" si="63"/>
        <v>9805</v>
      </c>
      <c r="Q50" s="32">
        <f t="shared" si="64"/>
        <v>11766</v>
      </c>
      <c r="R50" s="32">
        <f t="shared" si="65"/>
        <v>14119</v>
      </c>
      <c r="S50" s="32">
        <f t="shared" si="66"/>
        <v>16943</v>
      </c>
      <c r="T50" s="32">
        <f t="shared" si="67"/>
        <v>20332</v>
      </c>
      <c r="U50" s="32">
        <f t="shared" si="68"/>
        <v>24398</v>
      </c>
      <c r="V50" s="32">
        <v>7232</v>
      </c>
      <c r="W50" s="32">
        <f t="shared" si="69"/>
        <v>184</v>
      </c>
      <c r="X50" s="32">
        <f t="shared" si="70"/>
        <v>184</v>
      </c>
      <c r="Y50" s="32">
        <f t="shared" si="71"/>
        <v>184</v>
      </c>
      <c r="Z50" s="32">
        <f t="shared" si="72"/>
        <v>184</v>
      </c>
      <c r="AA50" s="32">
        <f t="shared" si="73"/>
        <v>184</v>
      </c>
      <c r="AB50" s="32">
        <f t="shared" si="74"/>
        <v>1268</v>
      </c>
      <c r="AF50" s="4">
        <v>67</v>
      </c>
      <c r="AG50" s="4">
        <f t="shared" si="47"/>
        <v>0</v>
      </c>
      <c r="AH50" s="4">
        <f t="shared" si="46"/>
        <v>88.197485258975</v>
      </c>
    </row>
    <row r="51" spans="1:34">
      <c r="A51" s="4">
        <v>12</v>
      </c>
      <c r="C51" s="4">
        <f t="shared" si="50"/>
        <v>236</v>
      </c>
      <c r="D51" s="4">
        <v>795</v>
      </c>
      <c r="E51" s="4">
        <f t="shared" si="52"/>
        <v>1334</v>
      </c>
      <c r="F51" s="4">
        <f t="shared" si="53"/>
        <v>1601</v>
      </c>
      <c r="G51" s="4">
        <f t="shared" si="54"/>
        <v>1921</v>
      </c>
      <c r="H51" s="4">
        <f t="shared" si="55"/>
        <v>2305</v>
      </c>
      <c r="I51" s="4">
        <f t="shared" si="56"/>
        <v>2766</v>
      </c>
      <c r="J51" s="4">
        <f t="shared" si="57"/>
        <v>3319</v>
      </c>
      <c r="K51" s="4">
        <f t="shared" si="58"/>
        <v>3983</v>
      </c>
      <c r="L51" s="4">
        <f t="shared" si="59"/>
        <v>4780</v>
      </c>
      <c r="M51" s="4">
        <f t="shared" si="60"/>
        <v>5736</v>
      </c>
      <c r="N51" s="4">
        <f t="shared" si="61"/>
        <v>6883</v>
      </c>
      <c r="O51" s="4">
        <f t="shared" si="62"/>
        <v>8260</v>
      </c>
      <c r="P51" s="4">
        <f t="shared" si="63"/>
        <v>9912</v>
      </c>
      <c r="Q51" s="4">
        <f t="shared" si="64"/>
        <v>11894</v>
      </c>
      <c r="R51" s="4">
        <f t="shared" si="65"/>
        <v>14273</v>
      </c>
      <c r="S51" s="4">
        <f t="shared" si="66"/>
        <v>17128</v>
      </c>
      <c r="T51" s="4">
        <f t="shared" si="67"/>
        <v>20554</v>
      </c>
      <c r="U51" s="4">
        <f t="shared" si="68"/>
        <v>24665</v>
      </c>
      <c r="V51" s="4">
        <v>10763</v>
      </c>
      <c r="W51" s="4">
        <f t="shared" si="69"/>
        <v>221</v>
      </c>
      <c r="X51" s="4">
        <f t="shared" si="70"/>
        <v>221</v>
      </c>
      <c r="Y51" s="4">
        <f t="shared" si="71"/>
        <v>221</v>
      </c>
      <c r="Z51" s="4">
        <f t="shared" si="72"/>
        <v>221</v>
      </c>
      <c r="AA51" s="4">
        <f t="shared" si="73"/>
        <v>231</v>
      </c>
      <c r="AB51" s="4">
        <f t="shared" si="74"/>
        <v>1260</v>
      </c>
      <c r="AF51" s="4">
        <v>68</v>
      </c>
      <c r="AG51" s="4">
        <f t="shared" si="47"/>
        <v>0</v>
      </c>
      <c r="AH51" s="4">
        <f t="shared" si="46"/>
        <v>97.0172337848725</v>
      </c>
    </row>
    <row r="52" spans="1:34">
      <c r="A52" s="4">
        <v>13</v>
      </c>
      <c r="C52" s="4">
        <f t="shared" si="50"/>
        <v>236</v>
      </c>
      <c r="D52" s="4">
        <f t="shared" si="51"/>
        <v>839</v>
      </c>
      <c r="E52" s="4">
        <f t="shared" si="52"/>
        <v>0</v>
      </c>
      <c r="F52" s="4">
        <f t="shared" si="53"/>
        <v>0</v>
      </c>
      <c r="G52" s="4">
        <f t="shared" si="54"/>
        <v>0</v>
      </c>
      <c r="H52" s="4">
        <f t="shared" si="55"/>
        <v>0</v>
      </c>
      <c r="I52" s="4">
        <f t="shared" si="56"/>
        <v>0</v>
      </c>
      <c r="J52" s="4">
        <f t="shared" si="57"/>
        <v>0</v>
      </c>
      <c r="K52" s="4">
        <f t="shared" si="58"/>
        <v>0</v>
      </c>
      <c r="L52" s="4">
        <f t="shared" si="59"/>
        <v>0</v>
      </c>
      <c r="M52" s="4">
        <f t="shared" si="60"/>
        <v>0</v>
      </c>
      <c r="N52" s="4">
        <f t="shared" si="61"/>
        <v>0</v>
      </c>
      <c r="O52" s="4">
        <f t="shared" si="62"/>
        <v>0</v>
      </c>
      <c r="P52" s="4">
        <f t="shared" si="63"/>
        <v>0</v>
      </c>
      <c r="Q52" s="4">
        <f t="shared" si="64"/>
        <v>0</v>
      </c>
      <c r="R52" s="4">
        <f t="shared" si="65"/>
        <v>0</v>
      </c>
      <c r="S52" s="4">
        <f t="shared" si="66"/>
        <v>0</v>
      </c>
      <c r="T52" s="4">
        <f t="shared" si="67"/>
        <v>0</v>
      </c>
      <c r="U52" s="4">
        <f t="shared" si="68"/>
        <v>0</v>
      </c>
      <c r="V52" s="4">
        <v>15330</v>
      </c>
      <c r="W52" s="4">
        <f t="shared" si="69"/>
        <v>241</v>
      </c>
      <c r="X52" s="4">
        <f t="shared" si="70"/>
        <v>241</v>
      </c>
      <c r="Y52" s="4">
        <f t="shared" si="71"/>
        <v>241</v>
      </c>
      <c r="Z52" s="4">
        <f t="shared" si="72"/>
        <v>250</v>
      </c>
      <c r="AA52" s="4">
        <f t="shared" si="73"/>
        <v>250</v>
      </c>
      <c r="AB52" s="4">
        <f t="shared" si="74"/>
        <v>1515</v>
      </c>
      <c r="AF52" s="4">
        <v>69</v>
      </c>
      <c r="AG52" s="4">
        <f t="shared" si="47"/>
        <v>0</v>
      </c>
      <c r="AH52" s="4">
        <f t="shared" si="46"/>
        <v>106.71895716336</v>
      </c>
    </row>
    <row r="53" spans="1:34">
      <c r="A53" s="4">
        <v>14</v>
      </c>
      <c r="C53" s="4">
        <f t="shared" si="50"/>
        <v>236</v>
      </c>
      <c r="D53" s="4">
        <f t="shared" si="51"/>
        <v>839</v>
      </c>
      <c r="E53" s="4">
        <f t="shared" si="52"/>
        <v>0</v>
      </c>
      <c r="F53" s="4">
        <f t="shared" si="53"/>
        <v>0</v>
      </c>
      <c r="G53" s="4">
        <f t="shared" si="54"/>
        <v>0</v>
      </c>
      <c r="H53" s="4">
        <f t="shared" si="55"/>
        <v>0</v>
      </c>
      <c r="I53" s="4">
        <f t="shared" si="56"/>
        <v>0</v>
      </c>
      <c r="J53" s="4">
        <f t="shared" si="57"/>
        <v>0</v>
      </c>
      <c r="K53" s="4">
        <f t="shared" si="58"/>
        <v>0</v>
      </c>
      <c r="L53" s="4">
        <f t="shared" si="59"/>
        <v>0</v>
      </c>
      <c r="M53" s="4">
        <f t="shared" si="60"/>
        <v>0</v>
      </c>
      <c r="N53" s="4">
        <f t="shared" si="61"/>
        <v>0</v>
      </c>
      <c r="O53" s="4">
        <f t="shared" si="62"/>
        <v>0</v>
      </c>
      <c r="P53" s="4">
        <f t="shared" si="63"/>
        <v>0</v>
      </c>
      <c r="Q53" s="4">
        <f t="shared" si="64"/>
        <v>0</v>
      </c>
      <c r="R53" s="4">
        <f t="shared" si="65"/>
        <v>0</v>
      </c>
      <c r="S53" s="4">
        <f t="shared" si="66"/>
        <v>0</v>
      </c>
      <c r="T53" s="4">
        <f t="shared" si="67"/>
        <v>0</v>
      </c>
      <c r="U53" s="4">
        <f t="shared" si="68"/>
        <v>0</v>
      </c>
      <c r="V53" s="4">
        <v>20813</v>
      </c>
      <c r="W53" s="4">
        <f t="shared" si="69"/>
        <v>260</v>
      </c>
      <c r="X53" s="4">
        <f t="shared" si="70"/>
        <v>260</v>
      </c>
      <c r="Y53" s="4">
        <f t="shared" si="71"/>
        <v>260</v>
      </c>
      <c r="Z53" s="4">
        <f t="shared" si="72"/>
        <v>270</v>
      </c>
      <c r="AA53" s="4">
        <f t="shared" si="73"/>
        <v>279</v>
      </c>
      <c r="AB53" s="4">
        <f t="shared" si="74"/>
        <v>1932</v>
      </c>
      <c r="AF53" s="4">
        <v>70</v>
      </c>
      <c r="AG53" s="4">
        <f t="shared" si="47"/>
        <v>0</v>
      </c>
      <c r="AH53" s="4">
        <f t="shared" si="46"/>
        <v>117.390852879696</v>
      </c>
    </row>
    <row r="54" s="30" customFormat="1" spans="1:34">
      <c r="A54" s="32">
        <v>15</v>
      </c>
      <c r="B54" s="32"/>
      <c r="C54" s="32">
        <f t="shared" si="50"/>
        <v>236</v>
      </c>
      <c r="D54" s="32">
        <f t="shared" si="51"/>
        <v>839</v>
      </c>
      <c r="E54" s="32">
        <f t="shared" si="52"/>
        <v>0</v>
      </c>
      <c r="F54" s="32">
        <f t="shared" si="53"/>
        <v>0</v>
      </c>
      <c r="G54" s="32">
        <f t="shared" si="54"/>
        <v>0</v>
      </c>
      <c r="H54" s="32">
        <f t="shared" si="55"/>
        <v>0</v>
      </c>
      <c r="I54" s="32">
        <f t="shared" si="56"/>
        <v>0</v>
      </c>
      <c r="J54" s="32">
        <f t="shared" si="57"/>
        <v>0</v>
      </c>
      <c r="K54" s="32">
        <f t="shared" si="58"/>
        <v>0</v>
      </c>
      <c r="L54" s="32">
        <f t="shared" si="59"/>
        <v>0</v>
      </c>
      <c r="M54" s="32">
        <f t="shared" si="60"/>
        <v>0</v>
      </c>
      <c r="N54" s="32">
        <f t="shared" si="61"/>
        <v>0</v>
      </c>
      <c r="O54" s="32">
        <f t="shared" si="62"/>
        <v>0</v>
      </c>
      <c r="P54" s="32">
        <f t="shared" si="63"/>
        <v>0</v>
      </c>
      <c r="Q54" s="32">
        <f t="shared" si="64"/>
        <v>0</v>
      </c>
      <c r="R54" s="32">
        <f t="shared" si="65"/>
        <v>0</v>
      </c>
      <c r="S54" s="32">
        <f t="shared" si="66"/>
        <v>0</v>
      </c>
      <c r="T54" s="32">
        <f t="shared" si="67"/>
        <v>0</v>
      </c>
      <c r="U54" s="32">
        <f t="shared" si="68"/>
        <v>0</v>
      </c>
      <c r="V54" s="32">
        <v>16572</v>
      </c>
      <c r="W54" s="32">
        <f t="shared" si="69"/>
        <v>260</v>
      </c>
      <c r="X54" s="32">
        <f t="shared" si="70"/>
        <v>260</v>
      </c>
      <c r="Y54" s="32">
        <f t="shared" si="71"/>
        <v>260</v>
      </c>
      <c r="Z54" s="32">
        <f t="shared" si="72"/>
        <v>260</v>
      </c>
      <c r="AA54" s="32">
        <f t="shared" si="73"/>
        <v>269</v>
      </c>
      <c r="AB54" s="32">
        <f t="shared" si="74"/>
        <v>2022</v>
      </c>
      <c r="AF54" s="4">
        <v>71</v>
      </c>
      <c r="AG54" s="4">
        <f t="shared" si="47"/>
        <v>0</v>
      </c>
      <c r="AH54" s="4">
        <f t="shared" si="46"/>
        <v>129.129938167665</v>
      </c>
    </row>
    <row r="55" spans="1:34">
      <c r="A55" s="4">
        <v>16</v>
      </c>
      <c r="C55" s="4">
        <f t="shared" si="50"/>
        <v>236</v>
      </c>
      <c r="D55" s="4">
        <f t="shared" si="51"/>
        <v>839</v>
      </c>
      <c r="E55" s="4">
        <f t="shared" si="52"/>
        <v>0</v>
      </c>
      <c r="F55" s="4">
        <f t="shared" si="53"/>
        <v>0</v>
      </c>
      <c r="G55" s="4">
        <f t="shared" si="54"/>
        <v>0</v>
      </c>
      <c r="H55" s="4">
        <f t="shared" si="55"/>
        <v>0</v>
      </c>
      <c r="I55" s="4">
        <f t="shared" si="56"/>
        <v>0</v>
      </c>
      <c r="J55" s="4">
        <f t="shared" si="57"/>
        <v>0</v>
      </c>
      <c r="K55" s="4">
        <f t="shared" si="58"/>
        <v>0</v>
      </c>
      <c r="L55" s="4">
        <f t="shared" si="59"/>
        <v>0</v>
      </c>
      <c r="M55" s="4">
        <f t="shared" si="60"/>
        <v>0</v>
      </c>
      <c r="N55" s="4">
        <f t="shared" si="61"/>
        <v>0</v>
      </c>
      <c r="O55" s="4">
        <f t="shared" si="62"/>
        <v>0</v>
      </c>
      <c r="P55" s="4">
        <f t="shared" si="63"/>
        <v>0</v>
      </c>
      <c r="Q55" s="4">
        <f t="shared" si="64"/>
        <v>0</v>
      </c>
      <c r="R55" s="4">
        <f t="shared" si="65"/>
        <v>0</v>
      </c>
      <c r="S55" s="4">
        <f t="shared" si="66"/>
        <v>0</v>
      </c>
      <c r="T55" s="4">
        <f t="shared" si="67"/>
        <v>0</v>
      </c>
      <c r="U55" s="4">
        <f t="shared" si="68"/>
        <v>0</v>
      </c>
      <c r="V55" s="4">
        <v>26107</v>
      </c>
      <c r="W55" s="4">
        <f t="shared" si="69"/>
        <v>370</v>
      </c>
      <c r="X55" s="4">
        <f t="shared" si="70"/>
        <v>370</v>
      </c>
      <c r="Y55" s="4">
        <f t="shared" si="71"/>
        <v>370</v>
      </c>
      <c r="Z55" s="4">
        <f t="shared" si="72"/>
        <v>381</v>
      </c>
      <c r="AA55" s="4">
        <f t="shared" si="73"/>
        <v>393</v>
      </c>
      <c r="AB55" s="4">
        <f t="shared" si="74"/>
        <v>2888</v>
      </c>
      <c r="AF55" s="4">
        <v>72</v>
      </c>
      <c r="AG55" s="4">
        <f t="shared" si="47"/>
        <v>0</v>
      </c>
      <c r="AH55" s="4">
        <f t="shared" si="46"/>
        <v>142.042931984432</v>
      </c>
    </row>
    <row r="56" spans="1:34">
      <c r="A56" s="4">
        <v>17</v>
      </c>
      <c r="C56" s="4">
        <f t="shared" si="50"/>
        <v>236</v>
      </c>
      <c r="D56" s="4">
        <f t="shared" si="51"/>
        <v>839</v>
      </c>
      <c r="E56" s="4">
        <f t="shared" si="52"/>
        <v>0</v>
      </c>
      <c r="F56" s="4">
        <f t="shared" si="53"/>
        <v>0</v>
      </c>
      <c r="G56" s="4">
        <f t="shared" si="54"/>
        <v>0</v>
      </c>
      <c r="H56" s="4">
        <f t="shared" si="55"/>
        <v>0</v>
      </c>
      <c r="I56" s="4">
        <f t="shared" si="56"/>
        <v>0</v>
      </c>
      <c r="J56" s="4">
        <f t="shared" si="57"/>
        <v>0</v>
      </c>
      <c r="K56" s="4">
        <f t="shared" si="58"/>
        <v>0</v>
      </c>
      <c r="L56" s="4">
        <f t="shared" si="59"/>
        <v>0</v>
      </c>
      <c r="M56" s="4">
        <f t="shared" si="60"/>
        <v>0</v>
      </c>
      <c r="N56" s="4">
        <f t="shared" si="61"/>
        <v>0</v>
      </c>
      <c r="O56" s="4">
        <f t="shared" si="62"/>
        <v>0</v>
      </c>
      <c r="P56" s="4">
        <f t="shared" si="63"/>
        <v>0</v>
      </c>
      <c r="Q56" s="4">
        <f t="shared" si="64"/>
        <v>0</v>
      </c>
      <c r="R56" s="4">
        <f t="shared" si="65"/>
        <v>0</v>
      </c>
      <c r="S56" s="4">
        <f t="shared" si="66"/>
        <v>0</v>
      </c>
      <c r="T56" s="4">
        <f t="shared" si="67"/>
        <v>0</v>
      </c>
      <c r="U56" s="4">
        <f t="shared" si="68"/>
        <v>0</v>
      </c>
      <c r="V56" s="4">
        <v>35520</v>
      </c>
      <c r="W56" s="4">
        <f t="shared" si="69"/>
        <v>393</v>
      </c>
      <c r="X56" s="4">
        <f t="shared" si="70"/>
        <v>393</v>
      </c>
      <c r="Y56" s="4">
        <f t="shared" si="71"/>
        <v>393</v>
      </c>
      <c r="Z56" s="4">
        <f t="shared" si="72"/>
        <v>404</v>
      </c>
      <c r="AA56" s="4">
        <f t="shared" si="73"/>
        <v>416</v>
      </c>
      <c r="AB56" s="4">
        <f t="shared" si="74"/>
        <v>4061</v>
      </c>
      <c r="AF56" s="4">
        <v>73</v>
      </c>
      <c r="AG56" s="4">
        <f t="shared" si="47"/>
        <v>0</v>
      </c>
      <c r="AH56" s="4">
        <f t="shared" si="46"/>
        <v>156.247225182875</v>
      </c>
    </row>
    <row r="57" spans="1:28">
      <c r="A57" s="4">
        <v>18</v>
      </c>
      <c r="C57" s="4">
        <f t="shared" si="50"/>
        <v>236</v>
      </c>
      <c r="D57" s="4">
        <f t="shared" si="51"/>
        <v>839</v>
      </c>
      <c r="E57" s="4">
        <f t="shared" si="52"/>
        <v>0</v>
      </c>
      <c r="F57" s="4">
        <f t="shared" si="53"/>
        <v>0</v>
      </c>
      <c r="G57" s="4">
        <f t="shared" si="54"/>
        <v>0</v>
      </c>
      <c r="H57" s="4">
        <f t="shared" si="55"/>
        <v>0</v>
      </c>
      <c r="I57" s="4">
        <f t="shared" si="56"/>
        <v>0</v>
      </c>
      <c r="J57" s="4">
        <f t="shared" si="57"/>
        <v>0</v>
      </c>
      <c r="K57" s="4">
        <f t="shared" si="58"/>
        <v>0</v>
      </c>
      <c r="L57" s="4">
        <f t="shared" si="59"/>
        <v>0</v>
      </c>
      <c r="M57" s="4">
        <f t="shared" si="60"/>
        <v>0</v>
      </c>
      <c r="N57" s="4">
        <f t="shared" si="61"/>
        <v>0</v>
      </c>
      <c r="O57" s="4">
        <f t="shared" si="62"/>
        <v>0</v>
      </c>
      <c r="P57" s="4">
        <f t="shared" si="63"/>
        <v>0</v>
      </c>
      <c r="Q57" s="4">
        <f t="shared" si="64"/>
        <v>0</v>
      </c>
      <c r="R57" s="4">
        <f t="shared" si="65"/>
        <v>0</v>
      </c>
      <c r="S57" s="4">
        <f t="shared" si="66"/>
        <v>0</v>
      </c>
      <c r="T57" s="4">
        <f t="shared" si="67"/>
        <v>0</v>
      </c>
      <c r="U57" s="4">
        <f t="shared" si="68"/>
        <v>0</v>
      </c>
      <c r="V57" s="4">
        <v>50230</v>
      </c>
      <c r="W57" s="4">
        <f t="shared" si="69"/>
        <v>450</v>
      </c>
      <c r="X57" s="4">
        <f t="shared" si="70"/>
        <v>450</v>
      </c>
      <c r="Y57" s="4">
        <f t="shared" si="71"/>
        <v>450</v>
      </c>
      <c r="Z57" s="4">
        <f t="shared" si="72"/>
        <v>463</v>
      </c>
      <c r="AA57" s="4">
        <f t="shared" si="73"/>
        <v>488</v>
      </c>
      <c r="AB57" s="4">
        <f t="shared" si="74"/>
        <v>4505</v>
      </c>
    </row>
    <row r="58" spans="1:28">
      <c r="A58" s="4">
        <v>19</v>
      </c>
      <c r="C58" s="4">
        <f t="shared" si="50"/>
        <v>236</v>
      </c>
      <c r="D58" s="4">
        <f t="shared" si="51"/>
        <v>839</v>
      </c>
      <c r="E58" s="4">
        <f t="shared" si="52"/>
        <v>0</v>
      </c>
      <c r="F58" s="4">
        <f t="shared" si="53"/>
        <v>0</v>
      </c>
      <c r="G58" s="4">
        <f t="shared" si="54"/>
        <v>0</v>
      </c>
      <c r="H58" s="4">
        <f t="shared" si="55"/>
        <v>0</v>
      </c>
      <c r="I58" s="4">
        <f t="shared" si="56"/>
        <v>0</v>
      </c>
      <c r="J58" s="4">
        <f t="shared" si="57"/>
        <v>0</v>
      </c>
      <c r="K58" s="4">
        <f t="shared" si="58"/>
        <v>0</v>
      </c>
      <c r="L58" s="4">
        <f t="shared" si="59"/>
        <v>0</v>
      </c>
      <c r="M58" s="4">
        <f t="shared" si="60"/>
        <v>0</v>
      </c>
      <c r="N58" s="4">
        <f t="shared" si="61"/>
        <v>0</v>
      </c>
      <c r="O58" s="4">
        <f t="shared" si="62"/>
        <v>0</v>
      </c>
      <c r="P58" s="4">
        <f t="shared" si="63"/>
        <v>0</v>
      </c>
      <c r="Q58" s="4">
        <f t="shared" si="64"/>
        <v>0</v>
      </c>
      <c r="R58" s="4">
        <f t="shared" si="65"/>
        <v>0</v>
      </c>
      <c r="S58" s="4">
        <f t="shared" si="66"/>
        <v>0</v>
      </c>
      <c r="T58" s="4">
        <f t="shared" si="67"/>
        <v>0</v>
      </c>
      <c r="U58" s="4">
        <f t="shared" si="68"/>
        <v>0</v>
      </c>
      <c r="V58" s="4">
        <f>V22</f>
        <v>0</v>
      </c>
      <c r="W58" s="4">
        <f t="shared" si="69"/>
        <v>488</v>
      </c>
      <c r="X58" s="4">
        <f t="shared" si="70"/>
        <v>488</v>
      </c>
      <c r="Y58" s="4">
        <f t="shared" si="71"/>
        <v>488</v>
      </c>
      <c r="Z58" s="4">
        <f t="shared" si="72"/>
        <v>501</v>
      </c>
      <c r="AA58" s="4">
        <f t="shared" si="73"/>
        <v>513</v>
      </c>
      <c r="AB58" s="4">
        <f t="shared" si="74"/>
        <v>5444</v>
      </c>
    </row>
    <row r="59" spans="1:28">
      <c r="A59" s="4">
        <v>20</v>
      </c>
      <c r="C59" s="4">
        <f t="shared" si="50"/>
        <v>236</v>
      </c>
      <c r="D59" s="4">
        <f t="shared" si="51"/>
        <v>839</v>
      </c>
      <c r="E59" s="4">
        <f t="shared" si="52"/>
        <v>0</v>
      </c>
      <c r="F59" s="4">
        <f t="shared" si="53"/>
        <v>0</v>
      </c>
      <c r="G59" s="4">
        <f t="shared" si="54"/>
        <v>0</v>
      </c>
      <c r="H59" s="4">
        <f t="shared" si="55"/>
        <v>0</v>
      </c>
      <c r="I59" s="4">
        <f t="shared" si="56"/>
        <v>0</v>
      </c>
      <c r="J59" s="4">
        <f t="shared" si="57"/>
        <v>0</v>
      </c>
      <c r="K59" s="4">
        <f t="shared" si="58"/>
        <v>0</v>
      </c>
      <c r="L59" s="4">
        <f t="shared" si="59"/>
        <v>0</v>
      </c>
      <c r="M59" s="4">
        <f t="shared" si="60"/>
        <v>0</v>
      </c>
      <c r="N59" s="4">
        <f t="shared" si="61"/>
        <v>0</v>
      </c>
      <c r="O59" s="4">
        <f t="shared" si="62"/>
        <v>0</v>
      </c>
      <c r="P59" s="4">
        <f t="shared" si="63"/>
        <v>0</v>
      </c>
      <c r="Q59" s="4">
        <f t="shared" si="64"/>
        <v>0</v>
      </c>
      <c r="R59" s="4">
        <f t="shared" si="65"/>
        <v>0</v>
      </c>
      <c r="S59" s="4">
        <f t="shared" si="66"/>
        <v>0</v>
      </c>
      <c r="T59" s="4">
        <f t="shared" si="67"/>
        <v>0</v>
      </c>
      <c r="U59" s="4">
        <f t="shared" si="68"/>
        <v>0</v>
      </c>
      <c r="V59" s="4">
        <v>64308</v>
      </c>
      <c r="W59" s="4">
        <f t="shared" si="69"/>
        <v>420</v>
      </c>
      <c r="X59" s="4">
        <f t="shared" si="70"/>
        <v>420</v>
      </c>
      <c r="Y59" s="4">
        <f t="shared" si="71"/>
        <v>420</v>
      </c>
      <c r="Z59" s="4">
        <f t="shared" si="72"/>
        <v>430</v>
      </c>
      <c r="AA59" s="4">
        <f t="shared" si="73"/>
        <v>450</v>
      </c>
      <c r="AB59" s="4">
        <f t="shared" si="74"/>
        <v>5970</v>
      </c>
    </row>
    <row r="60" spans="1:28">
      <c r="A60" s="4">
        <v>21</v>
      </c>
      <c r="C60" s="4">
        <f t="shared" si="50"/>
        <v>236</v>
      </c>
      <c r="D60" s="4">
        <f t="shared" si="51"/>
        <v>839</v>
      </c>
      <c r="E60" s="4">
        <f t="shared" si="52"/>
        <v>0</v>
      </c>
      <c r="F60" s="4">
        <f t="shared" si="53"/>
        <v>0</v>
      </c>
      <c r="G60" s="4">
        <f t="shared" si="54"/>
        <v>0</v>
      </c>
      <c r="H60" s="4">
        <f t="shared" si="55"/>
        <v>0</v>
      </c>
      <c r="I60" s="4">
        <f t="shared" si="56"/>
        <v>0</v>
      </c>
      <c r="J60" s="4">
        <f t="shared" si="57"/>
        <v>0</v>
      </c>
      <c r="K60" s="4">
        <f t="shared" si="58"/>
        <v>0</v>
      </c>
      <c r="L60" s="4">
        <f t="shared" si="59"/>
        <v>0</v>
      </c>
      <c r="M60" s="4">
        <f t="shared" si="60"/>
        <v>0</v>
      </c>
      <c r="N60" s="4">
        <f t="shared" si="61"/>
        <v>0</v>
      </c>
      <c r="O60" s="4">
        <f t="shared" si="62"/>
        <v>0</v>
      </c>
      <c r="P60" s="4">
        <f t="shared" si="63"/>
        <v>0</v>
      </c>
      <c r="Q60" s="4">
        <f t="shared" si="64"/>
        <v>0</v>
      </c>
      <c r="R60" s="4">
        <f t="shared" si="65"/>
        <v>0</v>
      </c>
      <c r="S60" s="4">
        <f t="shared" si="66"/>
        <v>0</v>
      </c>
      <c r="T60" s="4">
        <f t="shared" si="67"/>
        <v>0</v>
      </c>
      <c r="U60" s="4">
        <f t="shared" si="68"/>
        <v>0</v>
      </c>
      <c r="V60" s="4">
        <f t="shared" ref="V60:V70" si="75">V24</f>
        <v>0</v>
      </c>
      <c r="W60" s="4">
        <f t="shared" si="69"/>
        <v>948</v>
      </c>
      <c r="X60" s="4">
        <f t="shared" si="70"/>
        <v>948</v>
      </c>
      <c r="Y60" s="4">
        <f t="shared" si="71"/>
        <v>970</v>
      </c>
      <c r="Z60" s="4">
        <f t="shared" si="72"/>
        <v>992</v>
      </c>
      <c r="AA60" s="4">
        <f t="shared" si="73"/>
        <v>1014</v>
      </c>
      <c r="AB60" s="4">
        <f t="shared" si="74"/>
        <v>0</v>
      </c>
    </row>
    <row r="61" spans="1:28">
      <c r="A61" s="4">
        <v>22</v>
      </c>
      <c r="C61" s="4">
        <f t="shared" si="50"/>
        <v>236</v>
      </c>
      <c r="D61" s="4">
        <f t="shared" si="51"/>
        <v>839</v>
      </c>
      <c r="E61" s="4">
        <f t="shared" si="52"/>
        <v>0</v>
      </c>
      <c r="F61" s="4">
        <f t="shared" si="53"/>
        <v>0</v>
      </c>
      <c r="G61" s="4">
        <f t="shared" si="54"/>
        <v>0</v>
      </c>
      <c r="H61" s="4">
        <f t="shared" si="55"/>
        <v>0</v>
      </c>
      <c r="I61" s="4">
        <f t="shared" si="56"/>
        <v>0</v>
      </c>
      <c r="J61" s="4">
        <f t="shared" si="57"/>
        <v>0</v>
      </c>
      <c r="K61" s="4">
        <f t="shared" si="58"/>
        <v>0</v>
      </c>
      <c r="L61" s="4">
        <f t="shared" si="59"/>
        <v>0</v>
      </c>
      <c r="M61" s="4">
        <f t="shared" si="60"/>
        <v>0</v>
      </c>
      <c r="N61" s="4">
        <f t="shared" si="61"/>
        <v>0</v>
      </c>
      <c r="O61" s="4">
        <f t="shared" si="62"/>
        <v>0</v>
      </c>
      <c r="P61" s="4">
        <f t="shared" si="63"/>
        <v>0</v>
      </c>
      <c r="Q61" s="4">
        <f t="shared" si="64"/>
        <v>0</v>
      </c>
      <c r="R61" s="4">
        <f t="shared" si="65"/>
        <v>0</v>
      </c>
      <c r="S61" s="4">
        <f t="shared" si="66"/>
        <v>0</v>
      </c>
      <c r="T61" s="4">
        <f t="shared" si="67"/>
        <v>0</v>
      </c>
      <c r="U61" s="4">
        <f t="shared" si="68"/>
        <v>0</v>
      </c>
      <c r="V61" s="4">
        <f t="shared" si="75"/>
        <v>0</v>
      </c>
      <c r="W61" s="4">
        <f t="shared" si="69"/>
        <v>992</v>
      </c>
      <c r="X61" s="4">
        <f t="shared" si="70"/>
        <v>992</v>
      </c>
      <c r="Y61" s="4">
        <f t="shared" si="71"/>
        <v>1014</v>
      </c>
      <c r="Z61" s="4">
        <f t="shared" si="72"/>
        <v>1036</v>
      </c>
      <c r="AA61" s="4">
        <f t="shared" si="73"/>
        <v>1080</v>
      </c>
      <c r="AB61" s="4">
        <f t="shared" si="74"/>
        <v>0</v>
      </c>
    </row>
    <row r="62" spans="1:28">
      <c r="A62" s="4">
        <v>23</v>
      </c>
      <c r="C62" s="4">
        <f t="shared" si="50"/>
        <v>236</v>
      </c>
      <c r="D62" s="4">
        <f t="shared" si="51"/>
        <v>839</v>
      </c>
      <c r="E62" s="4">
        <f t="shared" si="52"/>
        <v>0</v>
      </c>
      <c r="F62" s="4">
        <f t="shared" si="53"/>
        <v>0</v>
      </c>
      <c r="G62" s="4">
        <f t="shared" si="54"/>
        <v>0</v>
      </c>
      <c r="H62" s="4">
        <f t="shared" si="55"/>
        <v>0</v>
      </c>
      <c r="I62" s="4">
        <f t="shared" si="56"/>
        <v>0</v>
      </c>
      <c r="J62" s="4">
        <f t="shared" si="57"/>
        <v>0</v>
      </c>
      <c r="K62" s="4">
        <f t="shared" si="58"/>
        <v>0</v>
      </c>
      <c r="L62" s="4">
        <f t="shared" si="59"/>
        <v>0</v>
      </c>
      <c r="M62" s="4">
        <f t="shared" si="60"/>
        <v>0</v>
      </c>
      <c r="N62" s="4">
        <f t="shared" si="61"/>
        <v>0</v>
      </c>
      <c r="O62" s="4">
        <f t="shared" si="62"/>
        <v>0</v>
      </c>
      <c r="P62" s="4">
        <f t="shared" si="63"/>
        <v>0</v>
      </c>
      <c r="Q62" s="4">
        <f t="shared" si="64"/>
        <v>0</v>
      </c>
      <c r="R62" s="4">
        <f t="shared" si="65"/>
        <v>0</v>
      </c>
      <c r="S62" s="4">
        <f t="shared" si="66"/>
        <v>0</v>
      </c>
      <c r="T62" s="4">
        <f t="shared" si="67"/>
        <v>0</v>
      </c>
      <c r="U62" s="4">
        <f t="shared" si="68"/>
        <v>0</v>
      </c>
      <c r="V62" s="4">
        <f t="shared" si="75"/>
        <v>0</v>
      </c>
      <c r="W62" s="4">
        <f t="shared" si="69"/>
        <v>1134</v>
      </c>
      <c r="X62" s="4">
        <f t="shared" si="70"/>
        <v>1134</v>
      </c>
      <c r="Y62" s="4">
        <f t="shared" si="71"/>
        <v>1158</v>
      </c>
      <c r="Z62" s="4">
        <f t="shared" si="72"/>
        <v>1181</v>
      </c>
      <c r="AA62" s="4">
        <f t="shared" si="73"/>
        <v>1205</v>
      </c>
      <c r="AB62" s="4">
        <f t="shared" si="74"/>
        <v>0</v>
      </c>
    </row>
    <row r="63" spans="1:28">
      <c r="A63" s="4">
        <v>24</v>
      </c>
      <c r="C63" s="4">
        <f t="shared" si="50"/>
        <v>236</v>
      </c>
      <c r="D63" s="4">
        <f t="shared" si="51"/>
        <v>839</v>
      </c>
      <c r="E63" s="4">
        <f t="shared" si="52"/>
        <v>0</v>
      </c>
      <c r="F63" s="4">
        <f t="shared" si="53"/>
        <v>0</v>
      </c>
      <c r="G63" s="4">
        <f t="shared" si="54"/>
        <v>0</v>
      </c>
      <c r="H63" s="4">
        <f t="shared" si="55"/>
        <v>0</v>
      </c>
      <c r="I63" s="4">
        <f t="shared" si="56"/>
        <v>0</v>
      </c>
      <c r="J63" s="4">
        <f t="shared" si="57"/>
        <v>0</v>
      </c>
      <c r="K63" s="4">
        <f t="shared" si="58"/>
        <v>0</v>
      </c>
      <c r="L63" s="4">
        <f t="shared" si="59"/>
        <v>0</v>
      </c>
      <c r="M63" s="4">
        <f t="shared" si="60"/>
        <v>0</v>
      </c>
      <c r="N63" s="4">
        <f t="shared" si="61"/>
        <v>0</v>
      </c>
      <c r="O63" s="4">
        <f t="shared" si="62"/>
        <v>0</v>
      </c>
      <c r="P63" s="4">
        <f t="shared" si="63"/>
        <v>0</v>
      </c>
      <c r="Q63" s="4">
        <f t="shared" si="64"/>
        <v>0</v>
      </c>
      <c r="R63" s="4">
        <f t="shared" si="65"/>
        <v>0</v>
      </c>
      <c r="S63" s="4">
        <f t="shared" si="66"/>
        <v>0</v>
      </c>
      <c r="T63" s="4">
        <f t="shared" si="67"/>
        <v>0</v>
      </c>
      <c r="U63" s="4">
        <f t="shared" si="68"/>
        <v>0</v>
      </c>
      <c r="V63" s="4">
        <f t="shared" si="75"/>
        <v>0</v>
      </c>
      <c r="W63" s="4">
        <f t="shared" si="69"/>
        <v>1181</v>
      </c>
      <c r="X63" s="4">
        <f t="shared" si="70"/>
        <v>1181</v>
      </c>
      <c r="Y63" s="4">
        <f t="shared" si="71"/>
        <v>1205</v>
      </c>
      <c r="Z63" s="4">
        <f t="shared" si="72"/>
        <v>1229</v>
      </c>
      <c r="AA63" s="4">
        <f t="shared" si="73"/>
        <v>1276</v>
      </c>
      <c r="AB63" s="4">
        <f t="shared" si="74"/>
        <v>0</v>
      </c>
    </row>
    <row r="64" spans="1:28">
      <c r="A64" s="4">
        <v>25</v>
      </c>
      <c r="C64" s="4">
        <f t="shared" si="50"/>
        <v>236</v>
      </c>
      <c r="D64" s="4">
        <f t="shared" si="51"/>
        <v>839</v>
      </c>
      <c r="E64" s="4">
        <f t="shared" si="52"/>
        <v>0</v>
      </c>
      <c r="F64" s="4">
        <f t="shared" si="53"/>
        <v>0</v>
      </c>
      <c r="G64" s="4">
        <f t="shared" si="54"/>
        <v>0</v>
      </c>
      <c r="H64" s="4">
        <f t="shared" si="55"/>
        <v>0</v>
      </c>
      <c r="I64" s="4">
        <f t="shared" si="56"/>
        <v>0</v>
      </c>
      <c r="J64" s="4">
        <f t="shared" si="57"/>
        <v>0</v>
      </c>
      <c r="K64" s="4">
        <f t="shared" si="58"/>
        <v>0</v>
      </c>
      <c r="L64" s="4">
        <f t="shared" si="59"/>
        <v>0</v>
      </c>
      <c r="M64" s="4">
        <f t="shared" si="60"/>
        <v>0</v>
      </c>
      <c r="N64" s="4">
        <f t="shared" si="61"/>
        <v>0</v>
      </c>
      <c r="O64" s="4">
        <f t="shared" si="62"/>
        <v>0</v>
      </c>
      <c r="P64" s="4">
        <f t="shared" si="63"/>
        <v>0</v>
      </c>
      <c r="Q64" s="4">
        <f t="shared" si="64"/>
        <v>0</v>
      </c>
      <c r="R64" s="4">
        <f t="shared" si="65"/>
        <v>0</v>
      </c>
      <c r="S64" s="4">
        <f t="shared" si="66"/>
        <v>0</v>
      </c>
      <c r="T64" s="4">
        <f t="shared" si="67"/>
        <v>0</v>
      </c>
      <c r="U64" s="4">
        <f t="shared" si="68"/>
        <v>0</v>
      </c>
      <c r="V64" s="4">
        <f t="shared" si="75"/>
        <v>0</v>
      </c>
      <c r="W64" s="4">
        <f t="shared" si="69"/>
        <v>710</v>
      </c>
      <c r="X64" s="4">
        <f t="shared" si="70"/>
        <v>710</v>
      </c>
      <c r="Y64" s="4">
        <f t="shared" si="71"/>
        <v>737</v>
      </c>
      <c r="Z64" s="4">
        <f t="shared" si="72"/>
        <v>751</v>
      </c>
      <c r="AA64" s="4">
        <f t="shared" si="73"/>
        <v>764</v>
      </c>
      <c r="AB64" s="4">
        <f t="shared" si="74"/>
        <v>0</v>
      </c>
    </row>
    <row r="65" spans="1:28">
      <c r="A65" s="4">
        <v>26</v>
      </c>
      <c r="C65" s="4">
        <f t="shared" si="50"/>
        <v>236</v>
      </c>
      <c r="D65" s="4">
        <f t="shared" si="51"/>
        <v>839</v>
      </c>
      <c r="E65" s="4">
        <f t="shared" si="52"/>
        <v>0</v>
      </c>
      <c r="F65" s="4">
        <f t="shared" si="53"/>
        <v>0</v>
      </c>
      <c r="G65" s="4">
        <f t="shared" si="54"/>
        <v>0</v>
      </c>
      <c r="H65" s="4">
        <f t="shared" si="55"/>
        <v>0</v>
      </c>
      <c r="I65" s="4">
        <f t="shared" si="56"/>
        <v>0</v>
      </c>
      <c r="J65" s="4">
        <f t="shared" si="57"/>
        <v>0</v>
      </c>
      <c r="K65" s="4">
        <f t="shared" si="58"/>
        <v>0</v>
      </c>
      <c r="L65" s="4">
        <f t="shared" si="59"/>
        <v>0</v>
      </c>
      <c r="M65" s="4">
        <f t="shared" si="60"/>
        <v>0</v>
      </c>
      <c r="N65" s="4">
        <f t="shared" si="61"/>
        <v>0</v>
      </c>
      <c r="O65" s="4">
        <f t="shared" si="62"/>
        <v>0</v>
      </c>
      <c r="P65" s="4">
        <f t="shared" si="63"/>
        <v>0</v>
      </c>
      <c r="Q65" s="4">
        <f t="shared" si="64"/>
        <v>0</v>
      </c>
      <c r="R65" s="4">
        <f t="shared" si="65"/>
        <v>0</v>
      </c>
      <c r="S65" s="4">
        <f t="shared" si="66"/>
        <v>0</v>
      </c>
      <c r="T65" s="4">
        <f t="shared" si="67"/>
        <v>0</v>
      </c>
      <c r="U65" s="4">
        <f t="shared" si="68"/>
        <v>0</v>
      </c>
      <c r="V65" s="4">
        <f t="shared" si="75"/>
        <v>0</v>
      </c>
      <c r="W65" s="4">
        <f t="shared" si="69"/>
        <v>1474</v>
      </c>
      <c r="X65" s="4">
        <f t="shared" si="70"/>
        <v>1474</v>
      </c>
      <c r="Y65" s="4">
        <f t="shared" si="71"/>
        <v>1529</v>
      </c>
      <c r="Z65" s="4">
        <f t="shared" si="72"/>
        <v>1556</v>
      </c>
      <c r="AA65" s="4">
        <f t="shared" si="73"/>
        <v>1611</v>
      </c>
      <c r="AB65" s="4">
        <f t="shared" si="74"/>
        <v>0</v>
      </c>
    </row>
    <row r="66" spans="1:28">
      <c r="A66" s="4">
        <v>27</v>
      </c>
      <c r="C66" s="4">
        <f t="shared" si="50"/>
        <v>236</v>
      </c>
      <c r="D66" s="4">
        <f t="shared" si="51"/>
        <v>839</v>
      </c>
      <c r="E66" s="4">
        <f t="shared" si="52"/>
        <v>0</v>
      </c>
      <c r="F66" s="4">
        <f t="shared" si="53"/>
        <v>0</v>
      </c>
      <c r="G66" s="4">
        <f t="shared" si="54"/>
        <v>0</v>
      </c>
      <c r="H66" s="4">
        <f t="shared" si="55"/>
        <v>0</v>
      </c>
      <c r="I66" s="4">
        <f t="shared" si="56"/>
        <v>0</v>
      </c>
      <c r="J66" s="4">
        <f t="shared" si="57"/>
        <v>0</v>
      </c>
      <c r="K66" s="4">
        <f t="shared" si="58"/>
        <v>0</v>
      </c>
      <c r="L66" s="4">
        <f t="shared" si="59"/>
        <v>0</v>
      </c>
      <c r="M66" s="4">
        <f t="shared" si="60"/>
        <v>0</v>
      </c>
      <c r="N66" s="4">
        <f t="shared" si="61"/>
        <v>0</v>
      </c>
      <c r="O66" s="4">
        <f t="shared" si="62"/>
        <v>0</v>
      </c>
      <c r="P66" s="4">
        <f t="shared" si="63"/>
        <v>0</v>
      </c>
      <c r="Q66" s="4">
        <f t="shared" si="64"/>
        <v>0</v>
      </c>
      <c r="R66" s="4">
        <f t="shared" si="65"/>
        <v>0</v>
      </c>
      <c r="S66" s="4">
        <f t="shared" si="66"/>
        <v>0</v>
      </c>
      <c r="T66" s="4">
        <f t="shared" si="67"/>
        <v>0</v>
      </c>
      <c r="U66" s="4">
        <f t="shared" si="68"/>
        <v>0</v>
      </c>
      <c r="V66" s="4">
        <f t="shared" si="75"/>
        <v>0</v>
      </c>
      <c r="W66" s="4">
        <f t="shared" si="69"/>
        <v>1653</v>
      </c>
      <c r="X66" s="4">
        <f t="shared" si="70"/>
        <v>1653</v>
      </c>
      <c r="Y66" s="4">
        <f t="shared" si="71"/>
        <v>1711</v>
      </c>
      <c r="Z66" s="4">
        <f t="shared" si="72"/>
        <v>1740</v>
      </c>
      <c r="AA66" s="4">
        <f t="shared" si="73"/>
        <v>1769</v>
      </c>
      <c r="AB66" s="4">
        <f t="shared" si="74"/>
        <v>0</v>
      </c>
    </row>
    <row r="67" spans="1:28">
      <c r="A67" s="4">
        <v>28</v>
      </c>
      <c r="C67" s="4">
        <f t="shared" si="50"/>
        <v>236</v>
      </c>
      <c r="D67" s="4">
        <f t="shared" si="51"/>
        <v>839</v>
      </c>
      <c r="E67" s="4">
        <f t="shared" si="52"/>
        <v>0</v>
      </c>
      <c r="F67" s="4">
        <f t="shared" si="53"/>
        <v>0</v>
      </c>
      <c r="G67" s="4">
        <f t="shared" si="54"/>
        <v>0</v>
      </c>
      <c r="H67" s="4">
        <f t="shared" si="55"/>
        <v>0</v>
      </c>
      <c r="I67" s="4">
        <f t="shared" si="56"/>
        <v>0</v>
      </c>
      <c r="J67" s="4">
        <f t="shared" si="57"/>
        <v>0</v>
      </c>
      <c r="K67" s="4">
        <f t="shared" si="58"/>
        <v>0</v>
      </c>
      <c r="L67" s="4">
        <f t="shared" si="59"/>
        <v>0</v>
      </c>
      <c r="M67" s="4">
        <f t="shared" si="60"/>
        <v>0</v>
      </c>
      <c r="N67" s="4">
        <f t="shared" si="61"/>
        <v>0</v>
      </c>
      <c r="O67" s="4">
        <f t="shared" si="62"/>
        <v>0</v>
      </c>
      <c r="P67" s="4">
        <f t="shared" si="63"/>
        <v>0</v>
      </c>
      <c r="Q67" s="4">
        <f t="shared" si="64"/>
        <v>0</v>
      </c>
      <c r="R67" s="4">
        <f t="shared" si="65"/>
        <v>0</v>
      </c>
      <c r="S67" s="4">
        <f t="shared" si="66"/>
        <v>0</v>
      </c>
      <c r="T67" s="4">
        <f t="shared" si="67"/>
        <v>0</v>
      </c>
      <c r="U67" s="4">
        <f t="shared" si="68"/>
        <v>0</v>
      </c>
      <c r="V67" s="4">
        <f t="shared" si="75"/>
        <v>0</v>
      </c>
      <c r="W67" s="4">
        <f t="shared" si="69"/>
        <v>1711</v>
      </c>
      <c r="X67" s="4">
        <f t="shared" si="70"/>
        <v>1711</v>
      </c>
      <c r="Y67" s="4">
        <f t="shared" si="71"/>
        <v>1769</v>
      </c>
      <c r="Z67" s="4">
        <f t="shared" si="72"/>
        <v>1798</v>
      </c>
      <c r="AA67" s="4">
        <f t="shared" si="73"/>
        <v>1856</v>
      </c>
      <c r="AB67" s="4">
        <f t="shared" si="74"/>
        <v>0</v>
      </c>
    </row>
    <row r="68" spans="1:28">
      <c r="A68" s="4">
        <v>29</v>
      </c>
      <c r="C68" s="4">
        <f t="shared" si="50"/>
        <v>236</v>
      </c>
      <c r="D68" s="4">
        <f t="shared" si="51"/>
        <v>839</v>
      </c>
      <c r="E68" s="4">
        <f t="shared" si="52"/>
        <v>0</v>
      </c>
      <c r="F68" s="4">
        <f t="shared" si="53"/>
        <v>0</v>
      </c>
      <c r="G68" s="4">
        <f t="shared" si="54"/>
        <v>0</v>
      </c>
      <c r="H68" s="4">
        <f t="shared" si="55"/>
        <v>0</v>
      </c>
      <c r="I68" s="4">
        <f t="shared" si="56"/>
        <v>0</v>
      </c>
      <c r="J68" s="4">
        <f t="shared" si="57"/>
        <v>0</v>
      </c>
      <c r="K68" s="4">
        <f t="shared" si="58"/>
        <v>0</v>
      </c>
      <c r="L68" s="4">
        <f t="shared" si="59"/>
        <v>0</v>
      </c>
      <c r="M68" s="4">
        <f t="shared" si="60"/>
        <v>0</v>
      </c>
      <c r="N68" s="4">
        <f t="shared" si="61"/>
        <v>0</v>
      </c>
      <c r="O68" s="4">
        <f t="shared" si="62"/>
        <v>0</v>
      </c>
      <c r="P68" s="4">
        <f t="shared" si="63"/>
        <v>0</v>
      </c>
      <c r="Q68" s="4">
        <f t="shared" si="64"/>
        <v>0</v>
      </c>
      <c r="R68" s="4">
        <f t="shared" si="65"/>
        <v>0</v>
      </c>
      <c r="S68" s="4">
        <f t="shared" si="66"/>
        <v>0</v>
      </c>
      <c r="T68" s="4">
        <f t="shared" si="67"/>
        <v>0</v>
      </c>
      <c r="U68" s="4">
        <f t="shared" si="68"/>
        <v>0</v>
      </c>
      <c r="V68" s="4">
        <f t="shared" si="75"/>
        <v>0</v>
      </c>
      <c r="W68" s="4">
        <f t="shared" si="69"/>
        <v>1873</v>
      </c>
      <c r="X68" s="4">
        <f t="shared" si="70"/>
        <v>1873</v>
      </c>
      <c r="Y68" s="4">
        <f t="shared" si="71"/>
        <v>1966</v>
      </c>
      <c r="Z68" s="4">
        <f t="shared" si="72"/>
        <v>1996</v>
      </c>
      <c r="AA68" s="4">
        <f t="shared" si="73"/>
        <v>2027</v>
      </c>
      <c r="AB68" s="4">
        <f t="shared" si="74"/>
        <v>0</v>
      </c>
    </row>
    <row r="69" spans="1:28">
      <c r="A69" s="4">
        <v>30</v>
      </c>
      <c r="C69" s="4">
        <f t="shared" si="50"/>
        <v>236</v>
      </c>
      <c r="D69" s="4">
        <f t="shared" si="51"/>
        <v>839</v>
      </c>
      <c r="E69" s="4">
        <f t="shared" si="52"/>
        <v>0</v>
      </c>
      <c r="F69" s="4">
        <f t="shared" si="53"/>
        <v>0</v>
      </c>
      <c r="G69" s="4">
        <f t="shared" si="54"/>
        <v>0</v>
      </c>
      <c r="H69" s="4">
        <f t="shared" si="55"/>
        <v>0</v>
      </c>
      <c r="I69" s="4">
        <f t="shared" si="56"/>
        <v>0</v>
      </c>
      <c r="J69" s="4">
        <f t="shared" si="57"/>
        <v>0</v>
      </c>
      <c r="K69" s="4">
        <f t="shared" si="58"/>
        <v>0</v>
      </c>
      <c r="L69" s="4">
        <f t="shared" si="59"/>
        <v>0</v>
      </c>
      <c r="M69" s="4">
        <f t="shared" si="60"/>
        <v>0</v>
      </c>
      <c r="N69" s="4">
        <f t="shared" si="61"/>
        <v>0</v>
      </c>
      <c r="O69" s="4">
        <f t="shared" si="62"/>
        <v>0</v>
      </c>
      <c r="P69" s="4">
        <f t="shared" si="63"/>
        <v>0</v>
      </c>
      <c r="Q69" s="4">
        <f t="shared" si="64"/>
        <v>0</v>
      </c>
      <c r="R69" s="4">
        <f t="shared" si="65"/>
        <v>0</v>
      </c>
      <c r="S69" s="4">
        <f t="shared" si="66"/>
        <v>0</v>
      </c>
      <c r="T69" s="4">
        <f t="shared" si="67"/>
        <v>0</v>
      </c>
      <c r="U69" s="4">
        <f t="shared" si="68"/>
        <v>0</v>
      </c>
      <c r="V69" s="4">
        <f t="shared" si="75"/>
        <v>0</v>
      </c>
      <c r="W69" s="4">
        <f t="shared" si="69"/>
        <v>1158</v>
      </c>
      <c r="X69" s="4">
        <f t="shared" si="70"/>
        <v>1158</v>
      </c>
      <c r="Y69" s="4">
        <f t="shared" si="71"/>
        <v>1213</v>
      </c>
      <c r="Z69" s="4">
        <f t="shared" si="72"/>
        <v>1231</v>
      </c>
      <c r="AA69" s="4">
        <f t="shared" si="73"/>
        <v>1268</v>
      </c>
      <c r="AB69" s="4">
        <f t="shared" si="74"/>
        <v>0</v>
      </c>
    </row>
    <row r="70" spans="3:28">
      <c r="C70" s="4">
        <f t="shared" si="50"/>
        <v>0</v>
      </c>
      <c r="D70" s="4">
        <f t="shared" si="51"/>
        <v>0</v>
      </c>
      <c r="E70" s="4">
        <f t="shared" si="52"/>
        <v>136</v>
      </c>
      <c r="F70" s="4">
        <f t="shared" si="53"/>
        <v>159</v>
      </c>
      <c r="G70" s="4">
        <f t="shared" si="54"/>
        <v>186</v>
      </c>
      <c r="H70" s="4">
        <f t="shared" si="55"/>
        <v>218</v>
      </c>
      <c r="I70" s="4">
        <f t="shared" si="56"/>
        <v>255</v>
      </c>
      <c r="J70" s="4">
        <f t="shared" si="57"/>
        <v>298</v>
      </c>
      <c r="K70" s="4">
        <f t="shared" si="58"/>
        <v>349</v>
      </c>
      <c r="L70" s="4">
        <f t="shared" si="59"/>
        <v>408</v>
      </c>
      <c r="M70" s="4">
        <f t="shared" si="60"/>
        <v>477</v>
      </c>
      <c r="N70" s="4">
        <f t="shared" si="61"/>
        <v>558</v>
      </c>
      <c r="O70" s="4">
        <f t="shared" si="62"/>
        <v>653</v>
      </c>
      <c r="P70" s="4">
        <f t="shared" si="63"/>
        <v>764</v>
      </c>
      <c r="Q70" s="4">
        <f t="shared" si="64"/>
        <v>894</v>
      </c>
      <c r="R70" s="4">
        <f t="shared" si="65"/>
        <v>1046</v>
      </c>
      <c r="S70" s="4">
        <f t="shared" si="66"/>
        <v>1224</v>
      </c>
      <c r="T70" s="4">
        <f t="shared" si="67"/>
        <v>1432</v>
      </c>
      <c r="U70" s="4">
        <f t="shared" si="68"/>
        <v>1675</v>
      </c>
      <c r="V70" s="4">
        <f t="shared" si="75"/>
        <v>2000</v>
      </c>
      <c r="W70" s="4">
        <f t="shared" si="69"/>
        <v>0</v>
      </c>
      <c r="X70" s="4">
        <f t="shared" si="70"/>
        <v>0</v>
      </c>
      <c r="Y70" s="4">
        <f t="shared" si="71"/>
        <v>0</v>
      </c>
      <c r="Z70" s="4">
        <f t="shared" si="72"/>
        <v>0</v>
      </c>
      <c r="AA70" s="4">
        <f t="shared" si="73"/>
        <v>0</v>
      </c>
      <c r="AB70" s="4">
        <f t="shared" si="74"/>
        <v>0</v>
      </c>
    </row>
    <row r="71" spans="3:28">
      <c r="C71" s="4">
        <f t="shared" ref="C71:AB71" si="76">C36</f>
        <v>0</v>
      </c>
      <c r="D71" s="4">
        <f t="shared" si="76"/>
        <v>0</v>
      </c>
      <c r="E71" s="4">
        <f t="shared" si="76"/>
        <v>0</v>
      </c>
      <c r="F71" s="4">
        <f t="shared" si="76"/>
        <v>0</v>
      </c>
      <c r="G71" s="4">
        <f t="shared" si="76"/>
        <v>0</v>
      </c>
      <c r="H71" s="4">
        <f t="shared" si="76"/>
        <v>0</v>
      </c>
      <c r="I71" s="4">
        <f t="shared" si="76"/>
        <v>0</v>
      </c>
      <c r="J71" s="4">
        <f t="shared" si="76"/>
        <v>0</v>
      </c>
      <c r="K71" s="4">
        <f t="shared" si="76"/>
        <v>0</v>
      </c>
      <c r="L71" s="4">
        <f t="shared" si="76"/>
        <v>0</v>
      </c>
      <c r="M71" s="4">
        <f t="shared" si="76"/>
        <v>0</v>
      </c>
      <c r="N71" s="4">
        <f t="shared" si="76"/>
        <v>0</v>
      </c>
      <c r="O71" s="4">
        <f t="shared" si="76"/>
        <v>0</v>
      </c>
      <c r="P71" s="4">
        <f t="shared" si="76"/>
        <v>0</v>
      </c>
      <c r="Q71" s="4">
        <f t="shared" si="76"/>
        <v>0</v>
      </c>
      <c r="R71" s="4">
        <f t="shared" si="76"/>
        <v>0</v>
      </c>
      <c r="S71" s="4">
        <f t="shared" si="76"/>
        <v>0</v>
      </c>
      <c r="T71" s="4">
        <f t="shared" si="76"/>
        <v>0</v>
      </c>
      <c r="U71" s="4">
        <f t="shared" si="76"/>
        <v>0</v>
      </c>
      <c r="V71" s="4">
        <f t="shared" si="76"/>
        <v>0</v>
      </c>
      <c r="W71" s="4">
        <f t="shared" si="76"/>
        <v>0</v>
      </c>
      <c r="X71" s="4">
        <f t="shared" si="76"/>
        <v>0</v>
      </c>
      <c r="Y71" s="4">
        <f t="shared" si="76"/>
        <v>0</v>
      </c>
      <c r="Z71" s="4">
        <f t="shared" si="76"/>
        <v>0</v>
      </c>
      <c r="AA71" s="4">
        <f t="shared" si="76"/>
        <v>0</v>
      </c>
      <c r="AB71" s="4">
        <f t="shared" si="76"/>
        <v>0</v>
      </c>
    </row>
    <row r="74" spans="1:1">
      <c r="A74" s="1" t="s">
        <v>558</v>
      </c>
    </row>
    <row r="75" ht="16.2" spans="1:27">
      <c r="A75" s="2" t="s">
        <v>528</v>
      </c>
      <c r="B75" s="2" t="s">
        <v>529</v>
      </c>
      <c r="C75" s="2" t="s">
        <v>530</v>
      </c>
      <c r="D75" s="2" t="s">
        <v>531</v>
      </c>
      <c r="E75" s="2" t="s">
        <v>532</v>
      </c>
      <c r="F75" s="2" t="s">
        <v>533</v>
      </c>
      <c r="G75" s="2" t="s">
        <v>534</v>
      </c>
      <c r="H75" s="2" t="s">
        <v>535</v>
      </c>
      <c r="I75" s="2" t="s">
        <v>536</v>
      </c>
      <c r="J75" s="2" t="s">
        <v>537</v>
      </c>
      <c r="K75" s="2" t="s">
        <v>538</v>
      </c>
      <c r="L75" s="2" t="s">
        <v>539</v>
      </c>
      <c r="M75" s="2" t="s">
        <v>540</v>
      </c>
      <c r="N75" s="2" t="s">
        <v>541</v>
      </c>
      <c r="O75" s="2" t="s">
        <v>542</v>
      </c>
      <c r="P75" s="2" t="s">
        <v>543</v>
      </c>
      <c r="Q75" s="2" t="s">
        <v>544</v>
      </c>
      <c r="R75" s="2" t="s">
        <v>545</v>
      </c>
      <c r="S75" s="2" t="s">
        <v>546</v>
      </c>
      <c r="T75" s="2" t="s">
        <v>547</v>
      </c>
      <c r="U75" s="2" t="s">
        <v>548</v>
      </c>
      <c r="V75" s="2" t="s">
        <v>549</v>
      </c>
      <c r="W75" s="2" t="s">
        <v>550</v>
      </c>
      <c r="X75" s="2" t="s">
        <v>551</v>
      </c>
      <c r="Y75" s="2" t="s">
        <v>552</v>
      </c>
      <c r="Z75" s="2" t="s">
        <v>553</v>
      </c>
      <c r="AA75" s="2" t="s">
        <v>554</v>
      </c>
    </row>
    <row r="76" spans="1:27">
      <c r="A76" s="24">
        <v>1</v>
      </c>
      <c r="B76" s="24">
        <v>25</v>
      </c>
      <c r="C76" s="24">
        <v>18</v>
      </c>
      <c r="D76" s="24">
        <v>5</v>
      </c>
      <c r="E76" s="24">
        <v>11</v>
      </c>
      <c r="F76" s="24">
        <v>11</v>
      </c>
      <c r="G76" s="24">
        <v>11</v>
      </c>
      <c r="H76" s="24">
        <v>11</v>
      </c>
      <c r="I76" s="24">
        <v>11</v>
      </c>
      <c r="J76" s="24">
        <v>11</v>
      </c>
      <c r="K76" s="24">
        <v>11</v>
      </c>
      <c r="L76" s="24">
        <v>11</v>
      </c>
      <c r="M76" s="24">
        <v>11</v>
      </c>
      <c r="N76" s="24">
        <v>11</v>
      </c>
      <c r="O76" s="24">
        <v>11</v>
      </c>
      <c r="P76" s="24">
        <v>22</v>
      </c>
      <c r="Q76" s="24">
        <v>26</v>
      </c>
      <c r="R76" s="24">
        <v>31</v>
      </c>
      <c r="S76" s="24">
        <v>31</v>
      </c>
      <c r="T76" s="24">
        <v>31</v>
      </c>
      <c r="U76" s="24">
        <v>31</v>
      </c>
      <c r="V76" s="24">
        <v>31</v>
      </c>
      <c r="W76" s="35">
        <v>18</v>
      </c>
      <c r="X76" s="35">
        <v>18</v>
      </c>
      <c r="Y76" s="35">
        <v>18</v>
      </c>
      <c r="Z76" s="35">
        <v>18</v>
      </c>
      <c r="AA76" s="35">
        <v>18</v>
      </c>
    </row>
    <row r="77" spans="1:27">
      <c r="A77" s="24">
        <v>2</v>
      </c>
      <c r="B77" s="24">
        <v>38</v>
      </c>
      <c r="C77" s="24">
        <v>32</v>
      </c>
      <c r="D77" s="24">
        <v>11</v>
      </c>
      <c r="E77" s="24">
        <v>23</v>
      </c>
      <c r="F77" s="24">
        <v>23</v>
      </c>
      <c r="G77" s="24">
        <v>23</v>
      </c>
      <c r="H77" s="24">
        <v>23</v>
      </c>
      <c r="I77" s="24">
        <v>23</v>
      </c>
      <c r="J77" s="24">
        <v>23</v>
      </c>
      <c r="K77" s="24">
        <v>23</v>
      </c>
      <c r="L77" s="24">
        <v>23</v>
      </c>
      <c r="M77" s="24">
        <v>23</v>
      </c>
      <c r="N77" s="24">
        <v>23</v>
      </c>
      <c r="O77" s="24">
        <v>23</v>
      </c>
      <c r="P77" s="24">
        <v>43</v>
      </c>
      <c r="Q77" s="24">
        <v>51</v>
      </c>
      <c r="R77" s="24">
        <v>61</v>
      </c>
      <c r="S77" s="24">
        <v>73</v>
      </c>
      <c r="T77" s="24">
        <v>88</v>
      </c>
      <c r="U77" s="24">
        <v>105</v>
      </c>
      <c r="V77" s="24">
        <v>126</v>
      </c>
      <c r="W77" s="35">
        <v>37</v>
      </c>
      <c r="X77" s="35">
        <v>37</v>
      </c>
      <c r="Y77" s="35">
        <v>37</v>
      </c>
      <c r="Z77" s="35">
        <v>37</v>
      </c>
      <c r="AA77" s="35">
        <v>37</v>
      </c>
    </row>
    <row r="78" spans="1:27">
      <c r="A78" s="24">
        <v>3</v>
      </c>
      <c r="B78" s="24">
        <v>94</v>
      </c>
      <c r="C78" s="24">
        <v>66</v>
      </c>
      <c r="D78" s="24">
        <v>32</v>
      </c>
      <c r="E78" s="24">
        <v>71</v>
      </c>
      <c r="F78" s="24">
        <v>71</v>
      </c>
      <c r="G78" s="24">
        <v>71</v>
      </c>
      <c r="H78" s="24">
        <v>71</v>
      </c>
      <c r="I78" s="24">
        <v>71</v>
      </c>
      <c r="J78" s="24">
        <v>71</v>
      </c>
      <c r="K78" s="24">
        <v>71</v>
      </c>
      <c r="L78" s="24">
        <v>71</v>
      </c>
      <c r="M78" s="24">
        <v>71</v>
      </c>
      <c r="N78" s="24">
        <v>71</v>
      </c>
      <c r="O78" s="24">
        <v>71</v>
      </c>
      <c r="P78" s="24">
        <v>85</v>
      </c>
      <c r="Q78" s="24">
        <v>102</v>
      </c>
      <c r="R78" s="24">
        <v>122</v>
      </c>
      <c r="S78" s="24">
        <v>146</v>
      </c>
      <c r="T78" s="24">
        <v>175</v>
      </c>
      <c r="U78" s="24">
        <v>210</v>
      </c>
      <c r="V78" s="24">
        <v>252</v>
      </c>
      <c r="W78" s="35">
        <v>63</v>
      </c>
      <c r="X78" s="35">
        <v>63</v>
      </c>
      <c r="Y78" s="35">
        <v>63</v>
      </c>
      <c r="Z78" s="35">
        <v>63</v>
      </c>
      <c r="AA78" s="35">
        <v>63</v>
      </c>
    </row>
    <row r="79" spans="1:27">
      <c r="A79" s="24">
        <v>4</v>
      </c>
      <c r="B79" s="24">
        <v>113</v>
      </c>
      <c r="C79" s="24">
        <v>133</v>
      </c>
      <c r="D79" s="24">
        <v>71</v>
      </c>
      <c r="E79" s="24">
        <v>131</v>
      </c>
      <c r="F79" s="24">
        <v>131</v>
      </c>
      <c r="G79" s="24">
        <v>131</v>
      </c>
      <c r="H79" s="24">
        <v>131</v>
      </c>
      <c r="I79" s="24">
        <v>131</v>
      </c>
      <c r="J79" s="24">
        <v>131</v>
      </c>
      <c r="K79" s="24">
        <v>131</v>
      </c>
      <c r="L79" s="24">
        <v>131</v>
      </c>
      <c r="M79" s="24">
        <v>131</v>
      </c>
      <c r="N79" s="24">
        <v>131</v>
      </c>
      <c r="O79" s="24">
        <v>161</v>
      </c>
      <c r="P79" s="24">
        <v>193</v>
      </c>
      <c r="Q79" s="24">
        <v>232</v>
      </c>
      <c r="R79" s="24">
        <v>278</v>
      </c>
      <c r="S79" s="24">
        <v>334</v>
      </c>
      <c r="T79" s="24">
        <v>401</v>
      </c>
      <c r="U79" s="24">
        <v>481</v>
      </c>
      <c r="V79" s="24">
        <v>577</v>
      </c>
      <c r="W79" s="35">
        <v>74</v>
      </c>
      <c r="X79" s="35">
        <v>74</v>
      </c>
      <c r="Y79" s="35">
        <v>74</v>
      </c>
      <c r="Z79" s="35">
        <v>74</v>
      </c>
      <c r="AA79" s="35">
        <v>74</v>
      </c>
    </row>
    <row r="80" spans="1:27">
      <c r="A80" s="24">
        <v>5</v>
      </c>
      <c r="B80" s="24">
        <v>225</v>
      </c>
      <c r="C80" s="24">
        <v>106</v>
      </c>
      <c r="D80" s="24">
        <v>55</v>
      </c>
      <c r="E80" s="24">
        <v>98</v>
      </c>
      <c r="F80" s="24">
        <v>98</v>
      </c>
      <c r="G80" s="24">
        <v>98</v>
      </c>
      <c r="H80" s="24">
        <v>98</v>
      </c>
      <c r="I80" s="24">
        <v>98</v>
      </c>
      <c r="J80" s="24">
        <v>98</v>
      </c>
      <c r="K80" s="24">
        <v>98</v>
      </c>
      <c r="L80" s="24">
        <v>98</v>
      </c>
      <c r="M80" s="24">
        <v>98</v>
      </c>
      <c r="N80" s="24">
        <v>121</v>
      </c>
      <c r="O80" s="24">
        <v>145</v>
      </c>
      <c r="P80" s="24">
        <v>174</v>
      </c>
      <c r="Q80" s="24">
        <v>209</v>
      </c>
      <c r="R80" s="24">
        <v>251</v>
      </c>
      <c r="S80" s="24">
        <v>301</v>
      </c>
      <c r="T80" s="24">
        <v>361</v>
      </c>
      <c r="U80" s="24">
        <v>433</v>
      </c>
      <c r="V80" s="24">
        <v>520</v>
      </c>
      <c r="W80" s="35">
        <v>53</v>
      </c>
      <c r="X80" s="35">
        <v>53</v>
      </c>
      <c r="Y80" s="35">
        <v>53</v>
      </c>
      <c r="Z80" s="35">
        <v>53</v>
      </c>
      <c r="AA80" s="35">
        <v>53</v>
      </c>
    </row>
    <row r="81" spans="1:27">
      <c r="A81" s="24">
        <v>6</v>
      </c>
      <c r="B81" s="24">
        <v>281</v>
      </c>
      <c r="C81" s="24">
        <v>184</v>
      </c>
      <c r="D81" s="24">
        <v>136</v>
      </c>
      <c r="E81" s="24">
        <v>302</v>
      </c>
      <c r="F81" s="24">
        <v>302</v>
      </c>
      <c r="G81" s="24">
        <v>302</v>
      </c>
      <c r="H81" s="24">
        <v>302</v>
      </c>
      <c r="I81" s="24">
        <v>302</v>
      </c>
      <c r="J81" s="24">
        <v>302</v>
      </c>
      <c r="K81" s="24">
        <v>302</v>
      </c>
      <c r="L81" s="24">
        <v>302</v>
      </c>
      <c r="M81" s="24">
        <v>302</v>
      </c>
      <c r="N81" s="24">
        <v>371</v>
      </c>
      <c r="O81" s="24">
        <v>445</v>
      </c>
      <c r="P81" s="24">
        <v>534</v>
      </c>
      <c r="Q81" s="24">
        <v>641</v>
      </c>
      <c r="R81" s="24">
        <v>769</v>
      </c>
      <c r="S81" s="24">
        <v>923</v>
      </c>
      <c r="T81" s="24">
        <v>1108</v>
      </c>
      <c r="U81" s="24">
        <v>1330</v>
      </c>
      <c r="V81" s="24">
        <v>1596</v>
      </c>
      <c r="W81" s="35">
        <v>130</v>
      </c>
      <c r="X81" s="35">
        <v>130</v>
      </c>
      <c r="Y81" s="35">
        <v>130</v>
      </c>
      <c r="Z81" s="35">
        <v>130</v>
      </c>
      <c r="AA81" s="35">
        <v>130</v>
      </c>
    </row>
    <row r="82" spans="1:27">
      <c r="A82" s="24">
        <v>7</v>
      </c>
      <c r="B82" s="24">
        <v>375</v>
      </c>
      <c r="C82" s="24">
        <v>247</v>
      </c>
      <c r="D82" s="24">
        <v>226</v>
      </c>
      <c r="E82" s="24">
        <v>444</v>
      </c>
      <c r="F82" s="24">
        <v>444</v>
      </c>
      <c r="G82" s="24">
        <v>444</v>
      </c>
      <c r="H82" s="24">
        <v>444</v>
      </c>
      <c r="I82" s="24">
        <v>444</v>
      </c>
      <c r="J82" s="24">
        <v>444</v>
      </c>
      <c r="K82" s="24">
        <v>444</v>
      </c>
      <c r="L82" s="24">
        <v>444</v>
      </c>
      <c r="M82" s="24">
        <v>444</v>
      </c>
      <c r="N82" s="24">
        <v>533</v>
      </c>
      <c r="O82" s="24">
        <v>640</v>
      </c>
      <c r="P82" s="24">
        <v>768</v>
      </c>
      <c r="Q82" s="24">
        <v>922</v>
      </c>
      <c r="R82" s="24">
        <v>1106</v>
      </c>
      <c r="S82" s="24">
        <v>1327</v>
      </c>
      <c r="T82" s="24">
        <v>1592</v>
      </c>
      <c r="U82" s="24">
        <v>1910</v>
      </c>
      <c r="V82" s="24">
        <v>2292</v>
      </c>
      <c r="W82" s="35">
        <v>154</v>
      </c>
      <c r="X82" s="35">
        <v>154</v>
      </c>
      <c r="Y82" s="35">
        <v>154</v>
      </c>
      <c r="Z82" s="35">
        <v>154</v>
      </c>
      <c r="AA82" s="35">
        <v>154</v>
      </c>
    </row>
    <row r="83" spans="1:27">
      <c r="A83" s="24">
        <v>8</v>
      </c>
      <c r="B83" s="24">
        <v>450</v>
      </c>
      <c r="C83" s="24">
        <v>328</v>
      </c>
      <c r="D83" s="24">
        <v>346</v>
      </c>
      <c r="E83" s="24">
        <v>558</v>
      </c>
      <c r="F83" s="24">
        <v>558</v>
      </c>
      <c r="G83" s="24">
        <v>558</v>
      </c>
      <c r="H83" s="24">
        <v>558</v>
      </c>
      <c r="I83" s="24">
        <v>558</v>
      </c>
      <c r="J83" s="24">
        <v>558</v>
      </c>
      <c r="K83" s="24">
        <v>558</v>
      </c>
      <c r="L83" s="24">
        <v>670</v>
      </c>
      <c r="M83" s="24">
        <v>804</v>
      </c>
      <c r="N83" s="24">
        <v>965</v>
      </c>
      <c r="O83" s="24">
        <v>1158</v>
      </c>
      <c r="P83" s="24">
        <v>1390</v>
      </c>
      <c r="Q83" s="24">
        <v>1668</v>
      </c>
      <c r="R83" s="24">
        <v>2002</v>
      </c>
      <c r="S83" s="24">
        <v>2402</v>
      </c>
      <c r="T83" s="24">
        <v>2882</v>
      </c>
      <c r="U83" s="24">
        <v>3458</v>
      </c>
      <c r="V83" s="24">
        <v>4150</v>
      </c>
      <c r="W83" s="35">
        <v>165</v>
      </c>
      <c r="X83" s="35">
        <v>165</v>
      </c>
      <c r="Y83" s="35">
        <v>165</v>
      </c>
      <c r="Z83" s="35">
        <v>165</v>
      </c>
      <c r="AA83" s="35">
        <v>165</v>
      </c>
    </row>
    <row r="84" spans="1:27">
      <c r="A84" s="24">
        <v>9</v>
      </c>
      <c r="B84" s="24">
        <v>656</v>
      </c>
      <c r="C84" s="24">
        <v>477</v>
      </c>
      <c r="D84" s="24">
        <v>523</v>
      </c>
      <c r="E84" s="24">
        <v>679</v>
      </c>
      <c r="F84" s="24">
        <v>679</v>
      </c>
      <c r="G84" s="24">
        <v>679</v>
      </c>
      <c r="H84" s="24">
        <v>679</v>
      </c>
      <c r="I84" s="24">
        <v>679</v>
      </c>
      <c r="J84" s="24">
        <v>815</v>
      </c>
      <c r="K84" s="24">
        <v>978</v>
      </c>
      <c r="L84" s="24">
        <v>1174</v>
      </c>
      <c r="M84" s="24">
        <v>1409</v>
      </c>
      <c r="N84" s="24">
        <v>1691</v>
      </c>
      <c r="O84" s="24">
        <v>2029</v>
      </c>
      <c r="P84" s="24">
        <v>2435</v>
      </c>
      <c r="Q84" s="24">
        <v>2922</v>
      </c>
      <c r="R84" s="24">
        <v>3506</v>
      </c>
      <c r="S84" s="24">
        <v>4207</v>
      </c>
      <c r="T84" s="24">
        <v>5048</v>
      </c>
      <c r="U84" s="24">
        <v>6058</v>
      </c>
      <c r="V84" s="24">
        <v>7270</v>
      </c>
      <c r="W84" s="35">
        <v>189</v>
      </c>
      <c r="X84" s="35">
        <v>189</v>
      </c>
      <c r="Y84" s="35">
        <v>189</v>
      </c>
      <c r="Z84" s="35">
        <v>189</v>
      </c>
      <c r="AA84" s="35">
        <v>189</v>
      </c>
    </row>
    <row r="85" spans="1:27">
      <c r="A85" s="24">
        <v>10</v>
      </c>
      <c r="B85" s="24">
        <v>938</v>
      </c>
      <c r="C85" s="24">
        <v>386</v>
      </c>
      <c r="D85" s="24">
        <v>402</v>
      </c>
      <c r="E85" s="24">
        <v>436</v>
      </c>
      <c r="F85" s="24">
        <v>523</v>
      </c>
      <c r="G85" s="24">
        <v>628</v>
      </c>
      <c r="H85" s="24">
        <v>754</v>
      </c>
      <c r="I85" s="24">
        <v>905</v>
      </c>
      <c r="J85" s="24">
        <v>1086</v>
      </c>
      <c r="K85" s="24">
        <v>1303</v>
      </c>
      <c r="L85" s="24">
        <v>1564</v>
      </c>
      <c r="M85" s="24">
        <v>1877</v>
      </c>
      <c r="N85" s="24">
        <v>2252</v>
      </c>
      <c r="O85" s="24">
        <v>2702</v>
      </c>
      <c r="P85" s="24">
        <v>3242</v>
      </c>
      <c r="Q85" s="24">
        <v>3890</v>
      </c>
      <c r="R85" s="24">
        <v>4668</v>
      </c>
      <c r="S85" s="24">
        <v>5602</v>
      </c>
      <c r="T85" s="24">
        <v>6722</v>
      </c>
      <c r="U85" s="24">
        <v>8066</v>
      </c>
      <c r="V85" s="24">
        <v>9679</v>
      </c>
      <c r="W85" s="35">
        <v>118</v>
      </c>
      <c r="X85" s="35">
        <v>118</v>
      </c>
      <c r="Y85" s="35">
        <v>118</v>
      </c>
      <c r="Z85" s="35">
        <v>118</v>
      </c>
      <c r="AA85" s="35">
        <v>125</v>
      </c>
    </row>
    <row r="86" spans="1:27">
      <c r="A86" s="24">
        <v>11</v>
      </c>
      <c r="B86" s="24">
        <v>1296</v>
      </c>
      <c r="C86" s="24">
        <v>384</v>
      </c>
      <c r="D86" s="24">
        <v>735</v>
      </c>
      <c r="E86" s="24">
        <v>798</v>
      </c>
      <c r="F86" s="24">
        <v>958</v>
      </c>
      <c r="G86" s="24">
        <v>1150</v>
      </c>
      <c r="H86" s="24">
        <v>1380</v>
      </c>
      <c r="I86" s="24">
        <v>1656</v>
      </c>
      <c r="J86" s="24">
        <v>1987</v>
      </c>
      <c r="K86" s="24">
        <v>2384</v>
      </c>
      <c r="L86" s="24">
        <v>2861</v>
      </c>
      <c r="M86" s="24">
        <v>3433</v>
      </c>
      <c r="N86" s="24">
        <v>4120</v>
      </c>
      <c r="O86" s="24">
        <v>4944</v>
      </c>
      <c r="P86" s="24">
        <v>5933</v>
      </c>
      <c r="Q86" s="24">
        <v>7120</v>
      </c>
      <c r="R86" s="24">
        <v>8544</v>
      </c>
      <c r="S86" s="24">
        <v>10253</v>
      </c>
      <c r="T86" s="24">
        <v>12304</v>
      </c>
      <c r="U86" s="24">
        <v>14765</v>
      </c>
      <c r="V86" s="24">
        <v>17718</v>
      </c>
      <c r="W86" s="35">
        <v>184</v>
      </c>
      <c r="X86" s="35">
        <v>184</v>
      </c>
      <c r="Y86" s="35">
        <v>184</v>
      </c>
      <c r="Z86" s="35">
        <v>184</v>
      </c>
      <c r="AA86" s="35">
        <v>184</v>
      </c>
    </row>
    <row r="87" spans="1:27">
      <c r="A87" s="24">
        <v>12</v>
      </c>
      <c r="B87" s="24">
        <v>1620</v>
      </c>
      <c r="C87" s="24">
        <v>407</v>
      </c>
      <c r="D87" s="24">
        <v>873</v>
      </c>
      <c r="E87" s="24">
        <v>887</v>
      </c>
      <c r="F87" s="24">
        <v>1064</v>
      </c>
      <c r="G87" s="24">
        <v>1277</v>
      </c>
      <c r="H87" s="24">
        <v>1532</v>
      </c>
      <c r="I87" s="24">
        <v>1838</v>
      </c>
      <c r="J87" s="24">
        <v>2206</v>
      </c>
      <c r="K87" s="24">
        <v>2647</v>
      </c>
      <c r="L87" s="24">
        <v>3176</v>
      </c>
      <c r="M87" s="24">
        <v>3811</v>
      </c>
      <c r="N87" s="24">
        <v>4573</v>
      </c>
      <c r="O87" s="24">
        <v>5488</v>
      </c>
      <c r="P87" s="24">
        <v>6586</v>
      </c>
      <c r="Q87" s="24">
        <v>7903</v>
      </c>
      <c r="R87" s="24">
        <v>9484</v>
      </c>
      <c r="S87" s="24">
        <v>11381</v>
      </c>
      <c r="T87" s="24">
        <v>13657</v>
      </c>
      <c r="U87" s="24">
        <v>16388</v>
      </c>
      <c r="V87" s="24">
        <v>19666</v>
      </c>
      <c r="W87" s="35">
        <v>221</v>
      </c>
      <c r="X87" s="35">
        <v>221</v>
      </c>
      <c r="Y87" s="35">
        <v>221</v>
      </c>
      <c r="Z87" s="35">
        <v>221</v>
      </c>
      <c r="AA87" s="35">
        <v>231</v>
      </c>
    </row>
    <row r="88" spans="1:27">
      <c r="A88" s="24">
        <v>13</v>
      </c>
      <c r="B88" s="24">
        <v>1944</v>
      </c>
      <c r="C88" s="24">
        <v>557</v>
      </c>
      <c r="D88" s="24">
        <v>995</v>
      </c>
      <c r="E88" s="24">
        <v>1013</v>
      </c>
      <c r="F88" s="24">
        <v>1216</v>
      </c>
      <c r="G88" s="24">
        <v>1459</v>
      </c>
      <c r="H88" s="24">
        <v>1751</v>
      </c>
      <c r="I88" s="24">
        <v>2101</v>
      </c>
      <c r="J88" s="24">
        <v>2521</v>
      </c>
      <c r="K88" s="24">
        <v>3025</v>
      </c>
      <c r="L88" s="24">
        <v>3630</v>
      </c>
      <c r="M88" s="24">
        <v>4356</v>
      </c>
      <c r="N88" s="24">
        <v>5227</v>
      </c>
      <c r="O88" s="24">
        <v>6272</v>
      </c>
      <c r="P88" s="24">
        <v>7526</v>
      </c>
      <c r="Q88" s="24">
        <v>9031</v>
      </c>
      <c r="R88" s="24">
        <v>10837</v>
      </c>
      <c r="S88" s="24">
        <v>13004</v>
      </c>
      <c r="T88" s="24">
        <v>15605</v>
      </c>
      <c r="U88" s="24">
        <v>18726</v>
      </c>
      <c r="V88" s="24">
        <v>22471</v>
      </c>
      <c r="W88" s="35">
        <v>241</v>
      </c>
      <c r="X88" s="35">
        <v>241</v>
      </c>
      <c r="Y88" s="35">
        <v>241</v>
      </c>
      <c r="Z88" s="35">
        <v>250</v>
      </c>
      <c r="AA88" s="35">
        <v>250</v>
      </c>
    </row>
    <row r="89" spans="1:27">
      <c r="A89" s="24">
        <v>14</v>
      </c>
      <c r="B89" s="24">
        <v>2268</v>
      </c>
      <c r="C89" s="24">
        <v>586</v>
      </c>
      <c r="D89" s="24">
        <v>1260</v>
      </c>
      <c r="E89" s="24">
        <v>1321</v>
      </c>
      <c r="F89" s="24">
        <v>1585</v>
      </c>
      <c r="G89" s="24">
        <v>1902</v>
      </c>
      <c r="H89" s="24">
        <v>2282</v>
      </c>
      <c r="I89" s="24">
        <v>2738</v>
      </c>
      <c r="J89" s="24">
        <v>3286</v>
      </c>
      <c r="K89" s="24">
        <v>3943</v>
      </c>
      <c r="L89" s="24">
        <v>4732</v>
      </c>
      <c r="M89" s="24">
        <v>5678</v>
      </c>
      <c r="N89" s="24">
        <v>6814</v>
      </c>
      <c r="O89" s="24">
        <v>8177</v>
      </c>
      <c r="P89" s="24">
        <v>9812</v>
      </c>
      <c r="Q89" s="24">
        <v>11774</v>
      </c>
      <c r="R89" s="24">
        <v>14129</v>
      </c>
      <c r="S89" s="24">
        <v>16955</v>
      </c>
      <c r="T89" s="24">
        <v>20346</v>
      </c>
      <c r="U89" s="24">
        <v>24415</v>
      </c>
      <c r="V89" s="24">
        <v>29298</v>
      </c>
      <c r="W89" s="35">
        <v>260</v>
      </c>
      <c r="X89" s="35">
        <v>260</v>
      </c>
      <c r="Y89" s="35">
        <v>260</v>
      </c>
      <c r="Z89" s="35">
        <v>270</v>
      </c>
      <c r="AA89" s="35">
        <v>279</v>
      </c>
    </row>
    <row r="90" spans="1:27">
      <c r="A90" s="24">
        <v>15</v>
      </c>
      <c r="B90" s="24">
        <v>2754</v>
      </c>
      <c r="C90" s="24">
        <v>667</v>
      </c>
      <c r="D90" s="24">
        <v>1327</v>
      </c>
      <c r="E90" s="24">
        <v>1295</v>
      </c>
      <c r="F90" s="24">
        <v>1554</v>
      </c>
      <c r="G90" s="24">
        <v>1865</v>
      </c>
      <c r="H90" s="24">
        <v>2238</v>
      </c>
      <c r="I90" s="24">
        <v>2686</v>
      </c>
      <c r="J90" s="24">
        <v>3223</v>
      </c>
      <c r="K90" s="24">
        <v>3868</v>
      </c>
      <c r="L90" s="24">
        <v>4642</v>
      </c>
      <c r="M90" s="24">
        <v>5570</v>
      </c>
      <c r="N90" s="24">
        <v>6684</v>
      </c>
      <c r="O90" s="24">
        <v>8021</v>
      </c>
      <c r="P90" s="24">
        <v>9625</v>
      </c>
      <c r="Q90" s="24">
        <v>11550</v>
      </c>
      <c r="R90" s="24">
        <v>13860</v>
      </c>
      <c r="S90" s="24">
        <v>16632</v>
      </c>
      <c r="T90" s="24">
        <v>19958</v>
      </c>
      <c r="U90" s="24">
        <v>23950</v>
      </c>
      <c r="V90" s="24">
        <v>28740</v>
      </c>
      <c r="W90" s="35">
        <v>260</v>
      </c>
      <c r="X90" s="35">
        <v>260</v>
      </c>
      <c r="Y90" s="35">
        <v>260</v>
      </c>
      <c r="Z90" s="35">
        <v>260</v>
      </c>
      <c r="AA90" s="35">
        <v>269</v>
      </c>
    </row>
    <row r="91" spans="1:27">
      <c r="A91" s="24">
        <v>16</v>
      </c>
      <c r="B91" s="24">
        <v>3078</v>
      </c>
      <c r="C91" s="24">
        <v>1395</v>
      </c>
      <c r="D91" s="24">
        <v>1871</v>
      </c>
      <c r="E91" s="24">
        <v>2097</v>
      </c>
      <c r="F91" s="24">
        <v>2516</v>
      </c>
      <c r="G91" s="24">
        <v>3019</v>
      </c>
      <c r="H91" s="24">
        <v>3623</v>
      </c>
      <c r="I91" s="24">
        <v>4348</v>
      </c>
      <c r="J91" s="24">
        <v>5218</v>
      </c>
      <c r="K91" s="24">
        <v>6262</v>
      </c>
      <c r="L91" s="24">
        <v>7514</v>
      </c>
      <c r="M91" s="24">
        <v>9017</v>
      </c>
      <c r="N91" s="24">
        <v>10820</v>
      </c>
      <c r="O91" s="24">
        <v>12984</v>
      </c>
      <c r="P91" s="24">
        <v>15581</v>
      </c>
      <c r="Q91" s="24">
        <v>18697</v>
      </c>
      <c r="R91" s="24">
        <v>22436</v>
      </c>
      <c r="S91" s="24">
        <v>26923</v>
      </c>
      <c r="T91" s="24">
        <v>32308</v>
      </c>
      <c r="U91" s="24">
        <v>38770</v>
      </c>
      <c r="V91" s="24">
        <v>46524</v>
      </c>
      <c r="W91" s="35">
        <v>370</v>
      </c>
      <c r="X91" s="35">
        <v>370</v>
      </c>
      <c r="Y91" s="35">
        <v>370</v>
      </c>
      <c r="Z91" s="35">
        <v>381</v>
      </c>
      <c r="AA91" s="35">
        <v>393</v>
      </c>
    </row>
    <row r="92" spans="1:27">
      <c r="A92" s="24">
        <v>17</v>
      </c>
      <c r="B92" s="24">
        <v>3402</v>
      </c>
      <c r="C92" s="24">
        <v>1668</v>
      </c>
      <c r="D92" s="24">
        <v>2168</v>
      </c>
      <c r="E92" s="24">
        <v>2642</v>
      </c>
      <c r="F92" s="24">
        <v>3170</v>
      </c>
      <c r="G92" s="24">
        <v>3804</v>
      </c>
      <c r="H92" s="24">
        <v>4565</v>
      </c>
      <c r="I92" s="24">
        <v>5478</v>
      </c>
      <c r="J92" s="24">
        <v>6574</v>
      </c>
      <c r="K92" s="24">
        <v>7889</v>
      </c>
      <c r="L92" s="24">
        <v>9467</v>
      </c>
      <c r="M92" s="24">
        <v>11360</v>
      </c>
      <c r="N92" s="24">
        <v>13632</v>
      </c>
      <c r="O92" s="24">
        <v>16358</v>
      </c>
      <c r="P92" s="24">
        <v>19630</v>
      </c>
      <c r="Q92" s="24">
        <v>23556</v>
      </c>
      <c r="R92" s="24">
        <v>28267</v>
      </c>
      <c r="S92" s="24">
        <v>33920</v>
      </c>
      <c r="T92" s="24">
        <v>40704</v>
      </c>
      <c r="U92" s="24">
        <v>48845</v>
      </c>
      <c r="V92" s="24">
        <v>58614</v>
      </c>
      <c r="W92" s="35">
        <v>393</v>
      </c>
      <c r="X92" s="35">
        <v>393</v>
      </c>
      <c r="Y92" s="35">
        <v>393</v>
      </c>
      <c r="Z92" s="35">
        <v>404</v>
      </c>
      <c r="AA92" s="35">
        <v>416</v>
      </c>
    </row>
    <row r="93" spans="1:27">
      <c r="A93" s="24">
        <v>18</v>
      </c>
      <c r="B93" s="24">
        <v>3726</v>
      </c>
      <c r="C93" s="24">
        <v>1806</v>
      </c>
      <c r="D93" s="24">
        <v>2168</v>
      </c>
      <c r="E93" s="24">
        <v>3330</v>
      </c>
      <c r="F93" s="24">
        <v>3996</v>
      </c>
      <c r="G93" s="24">
        <v>4795</v>
      </c>
      <c r="H93" s="24">
        <v>5754</v>
      </c>
      <c r="I93" s="24">
        <v>6905</v>
      </c>
      <c r="J93" s="24">
        <v>8286</v>
      </c>
      <c r="K93" s="24">
        <v>9943</v>
      </c>
      <c r="L93" s="24">
        <v>11932</v>
      </c>
      <c r="M93" s="24">
        <v>14318</v>
      </c>
      <c r="N93" s="24">
        <v>17182</v>
      </c>
      <c r="O93" s="24">
        <v>20618</v>
      </c>
      <c r="P93" s="24">
        <v>24742</v>
      </c>
      <c r="Q93" s="24">
        <v>29690</v>
      </c>
      <c r="R93" s="24">
        <v>35628</v>
      </c>
      <c r="S93" s="24">
        <v>42754</v>
      </c>
      <c r="T93" s="24">
        <v>51305</v>
      </c>
      <c r="U93" s="24">
        <v>61566</v>
      </c>
      <c r="V93" s="24">
        <v>73879</v>
      </c>
      <c r="W93" s="35">
        <v>450</v>
      </c>
      <c r="X93" s="35">
        <v>450</v>
      </c>
      <c r="Y93" s="35">
        <v>450</v>
      </c>
      <c r="Z93" s="35">
        <v>463</v>
      </c>
      <c r="AA93" s="35">
        <v>488</v>
      </c>
    </row>
    <row r="94" spans="1:27">
      <c r="A94" s="24">
        <v>19</v>
      </c>
      <c r="B94" s="24">
        <v>4050</v>
      </c>
      <c r="C94" s="24">
        <v>2052</v>
      </c>
      <c r="D94" s="24">
        <v>2486</v>
      </c>
      <c r="E94" s="24">
        <v>4197</v>
      </c>
      <c r="F94" s="24">
        <v>5036</v>
      </c>
      <c r="G94" s="24">
        <v>6043</v>
      </c>
      <c r="H94" s="24">
        <v>7252</v>
      </c>
      <c r="I94" s="24">
        <v>8702</v>
      </c>
      <c r="J94" s="24">
        <v>10442</v>
      </c>
      <c r="K94" s="24">
        <v>12530</v>
      </c>
      <c r="L94" s="24">
        <v>15036</v>
      </c>
      <c r="M94" s="24">
        <v>18043</v>
      </c>
      <c r="N94" s="24">
        <v>21652</v>
      </c>
      <c r="O94" s="24">
        <v>25982</v>
      </c>
      <c r="P94" s="24">
        <v>31178</v>
      </c>
      <c r="Q94" s="24">
        <v>37414</v>
      </c>
      <c r="R94" s="24">
        <v>44897</v>
      </c>
      <c r="S94" s="24">
        <v>53876</v>
      </c>
      <c r="T94" s="24">
        <v>64651</v>
      </c>
      <c r="U94" s="24">
        <v>77581</v>
      </c>
      <c r="V94" s="24">
        <v>93097</v>
      </c>
      <c r="W94" s="35">
        <v>488</v>
      </c>
      <c r="X94" s="35">
        <v>488</v>
      </c>
      <c r="Y94" s="35">
        <v>488</v>
      </c>
      <c r="Z94" s="35">
        <v>501</v>
      </c>
      <c r="AA94" s="35">
        <v>513</v>
      </c>
    </row>
    <row r="95" spans="1:27">
      <c r="A95" s="24">
        <v>20</v>
      </c>
      <c r="B95" s="24">
        <v>4536</v>
      </c>
      <c r="C95" s="24">
        <v>1356</v>
      </c>
      <c r="D95" s="24">
        <v>1614</v>
      </c>
      <c r="E95" s="24">
        <v>3990</v>
      </c>
      <c r="F95" s="24">
        <v>4788</v>
      </c>
      <c r="G95" s="24">
        <v>5746</v>
      </c>
      <c r="H95" s="24">
        <v>6895</v>
      </c>
      <c r="I95" s="24">
        <v>8274</v>
      </c>
      <c r="J95" s="24">
        <v>9929</v>
      </c>
      <c r="K95" s="24">
        <v>11915</v>
      </c>
      <c r="L95" s="24">
        <v>14298</v>
      </c>
      <c r="M95" s="24">
        <v>17158</v>
      </c>
      <c r="N95" s="24">
        <v>20590</v>
      </c>
      <c r="O95" s="24">
        <v>24708</v>
      </c>
      <c r="P95" s="24">
        <v>29650</v>
      </c>
      <c r="Q95" s="24">
        <v>35580</v>
      </c>
      <c r="R95" s="24">
        <v>42696</v>
      </c>
      <c r="S95" s="24">
        <v>51235</v>
      </c>
      <c r="T95" s="24">
        <v>61482</v>
      </c>
      <c r="U95" s="24">
        <v>73778</v>
      </c>
      <c r="V95" s="24">
        <v>88534</v>
      </c>
      <c r="W95" s="35">
        <v>420</v>
      </c>
      <c r="X95" s="35">
        <v>420</v>
      </c>
      <c r="Y95" s="35">
        <v>420</v>
      </c>
      <c r="Z95" s="35">
        <v>430</v>
      </c>
      <c r="AA95" s="35">
        <v>450</v>
      </c>
    </row>
    <row r="97" spans="1:1">
      <c r="A97" s="29" t="s">
        <v>559</v>
      </c>
    </row>
    <row r="98" s="1" customFormat="1" ht="16.2" spans="1:34">
      <c r="A98" s="2" t="s">
        <v>528</v>
      </c>
      <c r="B98" s="2" t="s">
        <v>529</v>
      </c>
      <c r="C98" s="2" t="s">
        <v>530</v>
      </c>
      <c r="D98" s="2" t="s">
        <v>531</v>
      </c>
      <c r="E98" s="2" t="s">
        <v>532</v>
      </c>
      <c r="F98" s="2" t="s">
        <v>533</v>
      </c>
      <c r="G98" s="2" t="s">
        <v>534</v>
      </c>
      <c r="H98" s="2" t="s">
        <v>535</v>
      </c>
      <c r="I98" s="2" t="s">
        <v>536</v>
      </c>
      <c r="J98" s="2" t="s">
        <v>537</v>
      </c>
      <c r="K98" s="2" t="s">
        <v>538</v>
      </c>
      <c r="L98" s="2" t="s">
        <v>539</v>
      </c>
      <c r="M98" s="2" t="s">
        <v>540</v>
      </c>
      <c r="N98" s="2" t="s">
        <v>541</v>
      </c>
      <c r="O98" s="2" t="s">
        <v>542</v>
      </c>
      <c r="P98" s="2" t="s">
        <v>543</v>
      </c>
      <c r="Q98" s="2" t="s">
        <v>544</v>
      </c>
      <c r="R98" s="2" t="s">
        <v>545</v>
      </c>
      <c r="S98" s="2" t="s">
        <v>546</v>
      </c>
      <c r="T98" s="2" t="s">
        <v>547</v>
      </c>
      <c r="U98" s="2" t="s">
        <v>548</v>
      </c>
      <c r="V98" s="2" t="s">
        <v>549</v>
      </c>
      <c r="W98" s="2" t="s">
        <v>550</v>
      </c>
      <c r="X98" s="2" t="s">
        <v>551</v>
      </c>
      <c r="Y98" s="2" t="s">
        <v>552</v>
      </c>
      <c r="Z98" s="2" t="s">
        <v>553</v>
      </c>
      <c r="AA98" s="2" t="s">
        <v>554</v>
      </c>
      <c r="AB98" s="2" t="s">
        <v>555</v>
      </c>
      <c r="AF98" s="4"/>
      <c r="AG98" s="4"/>
      <c r="AH98" s="4"/>
    </row>
    <row r="99" s="1" customFormat="1" spans="1:34">
      <c r="A99" s="24">
        <v>1</v>
      </c>
      <c r="B99" s="24">
        <v>25</v>
      </c>
      <c r="C99" s="24">
        <v>18</v>
      </c>
      <c r="D99" s="24">
        <v>5</v>
      </c>
      <c r="E99" s="24">
        <v>11</v>
      </c>
      <c r="F99" s="24">
        <v>11</v>
      </c>
      <c r="G99" s="24">
        <v>11</v>
      </c>
      <c r="H99" s="24">
        <v>11</v>
      </c>
      <c r="I99" s="24">
        <v>11</v>
      </c>
      <c r="J99" s="24">
        <v>11</v>
      </c>
      <c r="K99" s="24">
        <v>11</v>
      </c>
      <c r="L99" s="24">
        <v>11</v>
      </c>
      <c r="M99" s="24">
        <v>11</v>
      </c>
      <c r="N99" s="24">
        <v>11</v>
      </c>
      <c r="O99" s="24">
        <v>11</v>
      </c>
      <c r="P99" s="24">
        <v>11</v>
      </c>
      <c r="Q99" s="24">
        <v>11</v>
      </c>
      <c r="R99" s="24">
        <v>11</v>
      </c>
      <c r="S99" s="24">
        <v>11</v>
      </c>
      <c r="T99" s="24">
        <v>11</v>
      </c>
      <c r="U99" s="24">
        <v>11</v>
      </c>
      <c r="V99" s="24">
        <v>11</v>
      </c>
      <c r="W99" s="35">
        <v>18</v>
      </c>
      <c r="X99" s="35">
        <v>18</v>
      </c>
      <c r="Y99" s="35">
        <v>18</v>
      </c>
      <c r="Z99" s="35">
        <v>18</v>
      </c>
      <c r="AA99" s="35">
        <v>18</v>
      </c>
      <c r="AB99" s="24">
        <v>15</v>
      </c>
      <c r="AF99" s="4"/>
      <c r="AG99" s="4"/>
      <c r="AH99" s="4"/>
    </row>
    <row r="100" s="1" customFormat="1" spans="1:34">
      <c r="A100" s="24">
        <v>2</v>
      </c>
      <c r="B100" s="24">
        <v>38</v>
      </c>
      <c r="C100" s="24">
        <v>26</v>
      </c>
      <c r="D100" s="24">
        <v>9</v>
      </c>
      <c r="E100" s="24">
        <v>21</v>
      </c>
      <c r="F100" s="24">
        <v>21</v>
      </c>
      <c r="G100" s="24">
        <v>21</v>
      </c>
      <c r="H100" s="24">
        <v>21</v>
      </c>
      <c r="I100" s="24">
        <v>21</v>
      </c>
      <c r="J100" s="24">
        <v>21</v>
      </c>
      <c r="K100" s="24">
        <v>21</v>
      </c>
      <c r="L100" s="24">
        <v>21</v>
      </c>
      <c r="M100" s="24">
        <v>21</v>
      </c>
      <c r="N100" s="24">
        <v>21</v>
      </c>
      <c r="O100" s="24">
        <v>21</v>
      </c>
      <c r="P100" s="24">
        <v>21</v>
      </c>
      <c r="Q100" s="24">
        <v>21</v>
      </c>
      <c r="R100" s="24">
        <v>21</v>
      </c>
      <c r="S100" s="24">
        <v>21</v>
      </c>
      <c r="T100" s="24">
        <v>21</v>
      </c>
      <c r="U100" s="24">
        <v>21</v>
      </c>
      <c r="V100" s="24">
        <v>21</v>
      </c>
      <c r="W100" s="35">
        <v>37</v>
      </c>
      <c r="X100" s="35">
        <v>37</v>
      </c>
      <c r="Y100" s="35">
        <v>37</v>
      </c>
      <c r="Z100" s="35">
        <v>37</v>
      </c>
      <c r="AA100" s="35">
        <v>37</v>
      </c>
      <c r="AB100" s="24">
        <v>35</v>
      </c>
      <c r="AF100" s="4"/>
      <c r="AG100" s="4"/>
      <c r="AH100" s="4"/>
    </row>
    <row r="101" s="1" customFormat="1" spans="1:34">
      <c r="A101" s="24">
        <v>3</v>
      </c>
      <c r="B101" s="24">
        <v>94</v>
      </c>
      <c r="C101" s="24">
        <v>56</v>
      </c>
      <c r="D101" s="24">
        <v>22</v>
      </c>
      <c r="E101" s="24">
        <v>53</v>
      </c>
      <c r="F101" s="24">
        <v>53</v>
      </c>
      <c r="G101" s="24">
        <v>53</v>
      </c>
      <c r="H101" s="24">
        <v>53</v>
      </c>
      <c r="I101" s="24">
        <v>53</v>
      </c>
      <c r="J101" s="24">
        <v>53</v>
      </c>
      <c r="K101" s="24">
        <v>53</v>
      </c>
      <c r="L101" s="24">
        <v>53</v>
      </c>
      <c r="M101" s="24">
        <v>53</v>
      </c>
      <c r="N101" s="24">
        <v>53</v>
      </c>
      <c r="O101" s="24">
        <v>53</v>
      </c>
      <c r="P101" s="24">
        <v>53</v>
      </c>
      <c r="Q101" s="24">
        <v>53</v>
      </c>
      <c r="R101" s="24">
        <v>53</v>
      </c>
      <c r="S101" s="24">
        <v>53</v>
      </c>
      <c r="T101" s="24">
        <v>53</v>
      </c>
      <c r="U101" s="24">
        <v>53</v>
      </c>
      <c r="V101" s="24">
        <v>53</v>
      </c>
      <c r="W101" s="35">
        <v>63</v>
      </c>
      <c r="X101" s="35">
        <v>63</v>
      </c>
      <c r="Y101" s="35">
        <v>63</v>
      </c>
      <c r="Z101" s="35">
        <v>63</v>
      </c>
      <c r="AA101" s="35">
        <v>63</v>
      </c>
      <c r="AB101" s="24">
        <v>71</v>
      </c>
      <c r="AF101" s="4"/>
      <c r="AG101" s="4"/>
      <c r="AH101" s="4"/>
    </row>
    <row r="102" s="1" customFormat="1" spans="1:34">
      <c r="A102" s="24">
        <v>4</v>
      </c>
      <c r="B102" s="24">
        <v>113</v>
      </c>
      <c r="C102" s="24">
        <v>112</v>
      </c>
      <c r="D102" s="24">
        <v>53</v>
      </c>
      <c r="E102" s="24">
        <v>83</v>
      </c>
      <c r="F102" s="24">
        <v>83</v>
      </c>
      <c r="G102" s="24">
        <v>83</v>
      </c>
      <c r="H102" s="24">
        <v>83</v>
      </c>
      <c r="I102" s="24">
        <v>83</v>
      </c>
      <c r="J102" s="24">
        <v>83</v>
      </c>
      <c r="K102" s="24">
        <v>83</v>
      </c>
      <c r="L102" s="24">
        <v>83</v>
      </c>
      <c r="M102" s="24">
        <v>83</v>
      </c>
      <c r="N102" s="24">
        <v>83</v>
      </c>
      <c r="O102" s="24">
        <v>102</v>
      </c>
      <c r="P102" s="24">
        <v>122</v>
      </c>
      <c r="Q102" s="24">
        <v>146</v>
      </c>
      <c r="R102" s="24">
        <v>175</v>
      </c>
      <c r="S102" s="24">
        <v>210</v>
      </c>
      <c r="T102" s="24">
        <v>252</v>
      </c>
      <c r="U102" s="24">
        <v>302</v>
      </c>
      <c r="V102" s="24">
        <v>362</v>
      </c>
      <c r="W102" s="35">
        <v>74</v>
      </c>
      <c r="X102" s="35">
        <v>74</v>
      </c>
      <c r="Y102" s="35">
        <v>74</v>
      </c>
      <c r="Z102" s="35">
        <v>74</v>
      </c>
      <c r="AA102" s="35">
        <v>74</v>
      </c>
      <c r="AB102" s="24">
        <v>143</v>
      </c>
      <c r="AF102" s="4"/>
      <c r="AG102" s="4"/>
      <c r="AH102" s="4"/>
    </row>
    <row r="103" s="1" customFormat="1" spans="1:34">
      <c r="A103" s="24">
        <v>5</v>
      </c>
      <c r="B103" s="24">
        <v>225</v>
      </c>
      <c r="C103" s="24">
        <v>83</v>
      </c>
      <c r="D103" s="24">
        <v>39</v>
      </c>
      <c r="E103" s="24">
        <v>65</v>
      </c>
      <c r="F103" s="24">
        <v>65</v>
      </c>
      <c r="G103" s="24">
        <v>65</v>
      </c>
      <c r="H103" s="24">
        <v>65</v>
      </c>
      <c r="I103" s="24">
        <v>65</v>
      </c>
      <c r="J103" s="24">
        <v>65</v>
      </c>
      <c r="K103" s="24">
        <v>65</v>
      </c>
      <c r="L103" s="24">
        <v>65</v>
      </c>
      <c r="M103" s="24">
        <v>65</v>
      </c>
      <c r="N103" s="24">
        <v>80</v>
      </c>
      <c r="O103" s="24">
        <v>96</v>
      </c>
      <c r="P103" s="24">
        <v>115</v>
      </c>
      <c r="Q103" s="24">
        <v>138</v>
      </c>
      <c r="R103" s="24">
        <v>166</v>
      </c>
      <c r="S103" s="24">
        <v>199</v>
      </c>
      <c r="T103" s="24">
        <v>239</v>
      </c>
      <c r="U103" s="24">
        <v>287</v>
      </c>
      <c r="V103" s="24">
        <v>344</v>
      </c>
      <c r="W103" s="35">
        <v>53</v>
      </c>
      <c r="X103" s="35">
        <v>53</v>
      </c>
      <c r="Y103" s="35">
        <v>53</v>
      </c>
      <c r="Z103" s="35">
        <v>53</v>
      </c>
      <c r="AA103" s="35">
        <v>53</v>
      </c>
      <c r="AB103" s="24">
        <v>240</v>
      </c>
      <c r="AF103" s="4"/>
      <c r="AG103" s="4"/>
      <c r="AH103" s="4"/>
    </row>
    <row r="104" s="1" customFormat="1" spans="1:34">
      <c r="A104" s="24">
        <v>6</v>
      </c>
      <c r="B104" s="24">
        <v>281</v>
      </c>
      <c r="C104" s="24">
        <v>270</v>
      </c>
      <c r="D104" s="24">
        <v>141</v>
      </c>
      <c r="E104" s="24">
        <v>207</v>
      </c>
      <c r="F104" s="24">
        <v>207</v>
      </c>
      <c r="G104" s="24">
        <v>207</v>
      </c>
      <c r="H104" s="24">
        <v>207</v>
      </c>
      <c r="I104" s="24">
        <v>207</v>
      </c>
      <c r="J104" s="24">
        <v>207</v>
      </c>
      <c r="K104" s="24">
        <v>207</v>
      </c>
      <c r="L104" s="24">
        <v>207</v>
      </c>
      <c r="M104" s="24">
        <v>207</v>
      </c>
      <c r="N104" s="24">
        <v>255</v>
      </c>
      <c r="O104" s="24">
        <v>306</v>
      </c>
      <c r="P104" s="24">
        <v>367</v>
      </c>
      <c r="Q104" s="24">
        <v>440</v>
      </c>
      <c r="R104" s="24">
        <v>528</v>
      </c>
      <c r="S104" s="24">
        <v>634</v>
      </c>
      <c r="T104" s="24">
        <v>761</v>
      </c>
      <c r="U104" s="24">
        <v>913</v>
      </c>
      <c r="V104" s="24">
        <v>1096</v>
      </c>
      <c r="W104" s="35">
        <v>130</v>
      </c>
      <c r="X104" s="35">
        <v>130</v>
      </c>
      <c r="Y104" s="35">
        <v>130</v>
      </c>
      <c r="Z104" s="35">
        <v>130</v>
      </c>
      <c r="AA104" s="35">
        <v>130</v>
      </c>
      <c r="AB104" s="24">
        <v>368</v>
      </c>
      <c r="AF104" s="4"/>
      <c r="AG104" s="4"/>
      <c r="AH104" s="4"/>
    </row>
    <row r="105" s="1" customFormat="1" spans="1:34">
      <c r="A105" s="24">
        <v>7</v>
      </c>
      <c r="B105" s="24">
        <v>375</v>
      </c>
      <c r="C105" s="24">
        <v>370</v>
      </c>
      <c r="D105" s="24">
        <v>237</v>
      </c>
      <c r="E105" s="24">
        <v>322</v>
      </c>
      <c r="F105" s="24">
        <v>322</v>
      </c>
      <c r="G105" s="24">
        <v>322</v>
      </c>
      <c r="H105" s="24">
        <v>322</v>
      </c>
      <c r="I105" s="24">
        <v>322</v>
      </c>
      <c r="J105" s="24">
        <v>322</v>
      </c>
      <c r="K105" s="24">
        <v>322</v>
      </c>
      <c r="L105" s="24">
        <v>322</v>
      </c>
      <c r="M105" s="24">
        <v>322</v>
      </c>
      <c r="N105" s="24">
        <v>386</v>
      </c>
      <c r="O105" s="24">
        <v>463</v>
      </c>
      <c r="P105" s="24">
        <v>556</v>
      </c>
      <c r="Q105" s="24">
        <v>667</v>
      </c>
      <c r="R105" s="24">
        <v>800</v>
      </c>
      <c r="S105" s="24">
        <v>960</v>
      </c>
      <c r="T105" s="24">
        <v>1152</v>
      </c>
      <c r="U105" s="24">
        <v>1382</v>
      </c>
      <c r="V105" s="24">
        <v>1658</v>
      </c>
      <c r="W105" s="35">
        <v>154</v>
      </c>
      <c r="X105" s="35">
        <v>154</v>
      </c>
      <c r="Y105" s="35">
        <v>154</v>
      </c>
      <c r="Z105" s="35">
        <v>154</v>
      </c>
      <c r="AA105" s="35">
        <v>154</v>
      </c>
      <c r="AB105" s="24">
        <v>547</v>
      </c>
      <c r="AF105" s="4"/>
      <c r="AG105" s="4"/>
      <c r="AH105" s="4"/>
    </row>
    <row r="106" s="1" customFormat="1" spans="1:34">
      <c r="A106" s="24">
        <v>8</v>
      </c>
      <c r="B106" s="24">
        <v>450</v>
      </c>
      <c r="C106" s="24">
        <v>501</v>
      </c>
      <c r="D106" s="24">
        <v>357</v>
      </c>
      <c r="E106" s="24">
        <v>451</v>
      </c>
      <c r="F106" s="24">
        <v>451</v>
      </c>
      <c r="G106" s="24">
        <v>451</v>
      </c>
      <c r="H106" s="24">
        <v>451</v>
      </c>
      <c r="I106" s="24">
        <v>451</v>
      </c>
      <c r="J106" s="24">
        <v>451</v>
      </c>
      <c r="K106" s="24">
        <v>451</v>
      </c>
      <c r="L106" s="24">
        <v>541</v>
      </c>
      <c r="M106" s="24">
        <v>649</v>
      </c>
      <c r="N106" s="24">
        <v>779</v>
      </c>
      <c r="O106" s="24">
        <v>935</v>
      </c>
      <c r="P106" s="24">
        <v>1122</v>
      </c>
      <c r="Q106" s="24">
        <v>1346</v>
      </c>
      <c r="R106" s="24">
        <v>1615</v>
      </c>
      <c r="S106" s="24">
        <v>1938</v>
      </c>
      <c r="T106" s="24">
        <v>2326</v>
      </c>
      <c r="U106" s="24">
        <v>2791</v>
      </c>
      <c r="V106" s="24">
        <v>3349</v>
      </c>
      <c r="W106" s="35">
        <v>165</v>
      </c>
      <c r="X106" s="35">
        <v>165</v>
      </c>
      <c r="Y106" s="35">
        <v>165</v>
      </c>
      <c r="Z106" s="35">
        <v>165</v>
      </c>
      <c r="AA106" s="35">
        <v>165</v>
      </c>
      <c r="AB106" s="24">
        <v>741</v>
      </c>
      <c r="AF106" s="4"/>
      <c r="AG106" s="4"/>
      <c r="AH106" s="4"/>
    </row>
    <row r="107" s="1" customFormat="1" spans="1:34">
      <c r="A107" s="24">
        <v>9</v>
      </c>
      <c r="B107" s="24">
        <v>656</v>
      </c>
      <c r="C107" s="24">
        <v>578</v>
      </c>
      <c r="D107" s="24">
        <v>452</v>
      </c>
      <c r="E107" s="24">
        <v>524</v>
      </c>
      <c r="F107" s="24">
        <v>524</v>
      </c>
      <c r="G107" s="24">
        <v>524</v>
      </c>
      <c r="H107" s="24">
        <v>524</v>
      </c>
      <c r="I107" s="24">
        <v>524</v>
      </c>
      <c r="J107" s="24">
        <v>629</v>
      </c>
      <c r="K107" s="24">
        <v>755</v>
      </c>
      <c r="L107" s="24">
        <v>906</v>
      </c>
      <c r="M107" s="24">
        <v>1087</v>
      </c>
      <c r="N107" s="24">
        <v>1304</v>
      </c>
      <c r="O107" s="24">
        <v>1565</v>
      </c>
      <c r="P107" s="24">
        <v>1878</v>
      </c>
      <c r="Q107" s="24">
        <v>2254</v>
      </c>
      <c r="R107" s="24">
        <v>2705</v>
      </c>
      <c r="S107" s="24">
        <v>3246</v>
      </c>
      <c r="T107" s="24">
        <v>3895</v>
      </c>
      <c r="U107" s="24">
        <v>4674</v>
      </c>
      <c r="V107" s="24">
        <v>5609</v>
      </c>
      <c r="W107" s="35">
        <v>189</v>
      </c>
      <c r="X107" s="35">
        <v>189</v>
      </c>
      <c r="Y107" s="35">
        <v>189</v>
      </c>
      <c r="Z107" s="35">
        <v>189</v>
      </c>
      <c r="AA107" s="35">
        <v>189</v>
      </c>
      <c r="AB107" s="24">
        <v>849</v>
      </c>
      <c r="AF107" s="4"/>
      <c r="AG107" s="4"/>
      <c r="AH107" s="4"/>
    </row>
    <row r="108" s="1" customFormat="1" spans="1:34">
      <c r="A108" s="24">
        <v>10</v>
      </c>
      <c r="B108" s="24">
        <v>938</v>
      </c>
      <c r="C108" s="24">
        <v>379</v>
      </c>
      <c r="D108" s="24">
        <v>253</v>
      </c>
      <c r="E108" s="24">
        <v>343</v>
      </c>
      <c r="F108" s="24">
        <v>412</v>
      </c>
      <c r="G108" s="24">
        <v>494</v>
      </c>
      <c r="H108" s="24">
        <v>593</v>
      </c>
      <c r="I108" s="24">
        <v>712</v>
      </c>
      <c r="J108" s="24">
        <v>854</v>
      </c>
      <c r="K108" s="24">
        <v>1025</v>
      </c>
      <c r="L108" s="24">
        <v>1230</v>
      </c>
      <c r="M108" s="24">
        <v>1476</v>
      </c>
      <c r="N108" s="24">
        <v>1771</v>
      </c>
      <c r="O108" s="24">
        <v>2125</v>
      </c>
      <c r="P108" s="24">
        <v>2550</v>
      </c>
      <c r="Q108" s="24">
        <v>3060</v>
      </c>
      <c r="R108" s="24">
        <v>3672</v>
      </c>
      <c r="S108" s="24">
        <v>4406</v>
      </c>
      <c r="T108" s="24">
        <v>5287</v>
      </c>
      <c r="U108" s="24">
        <v>6344</v>
      </c>
      <c r="V108" s="24">
        <v>7613</v>
      </c>
      <c r="W108" s="35">
        <v>118</v>
      </c>
      <c r="X108" s="35">
        <v>118</v>
      </c>
      <c r="Y108" s="35">
        <v>118</v>
      </c>
      <c r="Z108" s="35">
        <v>118</v>
      </c>
      <c r="AA108" s="35">
        <v>125</v>
      </c>
      <c r="AB108" s="24">
        <v>1160</v>
      </c>
      <c r="AF108" s="4"/>
      <c r="AG108" s="4"/>
      <c r="AH108" s="4"/>
    </row>
    <row r="109" s="1" customFormat="1" spans="1:34">
      <c r="A109" s="24">
        <v>11</v>
      </c>
      <c r="B109" s="24">
        <v>1296</v>
      </c>
      <c r="C109" s="24">
        <v>379</v>
      </c>
      <c r="D109" s="24">
        <v>630</v>
      </c>
      <c r="E109" s="24">
        <v>684</v>
      </c>
      <c r="F109" s="24">
        <v>821</v>
      </c>
      <c r="G109" s="24">
        <v>985</v>
      </c>
      <c r="H109" s="24">
        <v>1182</v>
      </c>
      <c r="I109" s="24">
        <v>1418</v>
      </c>
      <c r="J109" s="24">
        <v>1702</v>
      </c>
      <c r="K109" s="24">
        <v>2042</v>
      </c>
      <c r="L109" s="24">
        <v>2450</v>
      </c>
      <c r="M109" s="24">
        <v>2940</v>
      </c>
      <c r="N109" s="24">
        <v>3528</v>
      </c>
      <c r="O109" s="24">
        <v>4234</v>
      </c>
      <c r="P109" s="24">
        <v>5081</v>
      </c>
      <c r="Q109" s="24">
        <v>6097</v>
      </c>
      <c r="R109" s="24">
        <v>7316</v>
      </c>
      <c r="S109" s="24">
        <v>8779</v>
      </c>
      <c r="T109" s="24">
        <v>10535</v>
      </c>
      <c r="U109" s="24">
        <v>12642</v>
      </c>
      <c r="V109" s="24">
        <v>15170</v>
      </c>
      <c r="W109" s="35">
        <v>175</v>
      </c>
      <c r="X109" s="35">
        <v>184</v>
      </c>
      <c r="Y109" s="35">
        <v>184</v>
      </c>
      <c r="Z109" s="35">
        <v>184</v>
      </c>
      <c r="AA109" s="35">
        <v>184</v>
      </c>
      <c r="AB109" s="24">
        <v>1268</v>
      </c>
      <c r="AF109" s="4"/>
      <c r="AG109" s="4"/>
      <c r="AH109" s="4"/>
    </row>
    <row r="110" s="1" customFormat="1" spans="1:34">
      <c r="A110" s="24">
        <v>12</v>
      </c>
      <c r="B110" s="24">
        <v>1620</v>
      </c>
      <c r="C110" s="24">
        <v>379</v>
      </c>
      <c r="D110" s="24">
        <v>756</v>
      </c>
      <c r="E110" s="24">
        <v>756</v>
      </c>
      <c r="F110" s="24">
        <v>907</v>
      </c>
      <c r="G110" s="24">
        <v>1088</v>
      </c>
      <c r="H110" s="24">
        <v>1306</v>
      </c>
      <c r="I110" s="24">
        <v>1567</v>
      </c>
      <c r="J110" s="24">
        <v>1880</v>
      </c>
      <c r="K110" s="24">
        <v>2256</v>
      </c>
      <c r="L110" s="24">
        <v>2707</v>
      </c>
      <c r="M110" s="24">
        <v>3248</v>
      </c>
      <c r="N110" s="24">
        <v>3898</v>
      </c>
      <c r="O110" s="24">
        <v>4678</v>
      </c>
      <c r="P110" s="24">
        <v>5614</v>
      </c>
      <c r="Q110" s="24">
        <v>6737</v>
      </c>
      <c r="R110" s="24">
        <v>8084</v>
      </c>
      <c r="S110" s="24">
        <v>9701</v>
      </c>
      <c r="T110" s="24">
        <v>11641</v>
      </c>
      <c r="U110" s="24">
        <v>13969</v>
      </c>
      <c r="V110" s="24">
        <v>16763</v>
      </c>
      <c r="W110" s="35">
        <v>212</v>
      </c>
      <c r="X110" s="35">
        <v>221</v>
      </c>
      <c r="Y110" s="35">
        <v>221</v>
      </c>
      <c r="Z110" s="35">
        <v>221</v>
      </c>
      <c r="AA110" s="35">
        <v>231</v>
      </c>
      <c r="AB110" s="24">
        <v>1260</v>
      </c>
      <c r="AF110" s="4"/>
      <c r="AG110" s="4"/>
      <c r="AH110" s="4"/>
    </row>
    <row r="111" s="1" customFormat="1" spans="1:34">
      <c r="A111" s="24">
        <v>13</v>
      </c>
      <c r="B111" s="24">
        <v>1944</v>
      </c>
      <c r="C111" s="24">
        <v>379</v>
      </c>
      <c r="D111" s="24">
        <v>928</v>
      </c>
      <c r="E111" s="24">
        <v>872</v>
      </c>
      <c r="F111" s="24">
        <v>1046</v>
      </c>
      <c r="G111" s="24">
        <v>1255</v>
      </c>
      <c r="H111" s="24">
        <v>1506</v>
      </c>
      <c r="I111" s="24">
        <v>1807</v>
      </c>
      <c r="J111" s="24">
        <v>2168</v>
      </c>
      <c r="K111" s="24">
        <v>2602</v>
      </c>
      <c r="L111" s="24">
        <v>3122</v>
      </c>
      <c r="M111" s="24">
        <v>3746</v>
      </c>
      <c r="N111" s="24">
        <v>4495</v>
      </c>
      <c r="O111" s="24">
        <v>5394</v>
      </c>
      <c r="P111" s="24">
        <v>6473</v>
      </c>
      <c r="Q111" s="24">
        <v>7768</v>
      </c>
      <c r="R111" s="24">
        <v>9322</v>
      </c>
      <c r="S111" s="24">
        <v>11186</v>
      </c>
      <c r="T111" s="24">
        <v>13423</v>
      </c>
      <c r="U111" s="24">
        <v>16108</v>
      </c>
      <c r="V111" s="24">
        <v>19330</v>
      </c>
      <c r="W111" s="35">
        <v>231</v>
      </c>
      <c r="X111" s="35">
        <v>241</v>
      </c>
      <c r="Y111" s="35">
        <v>241</v>
      </c>
      <c r="Z111" s="35">
        <v>250</v>
      </c>
      <c r="AA111" s="35">
        <v>250</v>
      </c>
      <c r="AB111" s="24">
        <v>1515</v>
      </c>
      <c r="AF111" s="4"/>
      <c r="AG111" s="4"/>
      <c r="AH111" s="4"/>
    </row>
    <row r="112" s="1" customFormat="1" spans="1:34">
      <c r="A112" s="24">
        <v>14</v>
      </c>
      <c r="B112" s="24">
        <v>2268</v>
      </c>
      <c r="C112" s="24">
        <v>379</v>
      </c>
      <c r="D112" s="24">
        <v>1260</v>
      </c>
      <c r="E112" s="24">
        <v>1073</v>
      </c>
      <c r="F112" s="24">
        <v>1288</v>
      </c>
      <c r="G112" s="24">
        <v>1546</v>
      </c>
      <c r="H112" s="24">
        <v>1855</v>
      </c>
      <c r="I112" s="24">
        <v>2226</v>
      </c>
      <c r="J112" s="24">
        <v>2671</v>
      </c>
      <c r="K112" s="24">
        <v>3205</v>
      </c>
      <c r="L112" s="24">
        <v>3846</v>
      </c>
      <c r="M112" s="24">
        <v>4615</v>
      </c>
      <c r="N112" s="24">
        <v>5538</v>
      </c>
      <c r="O112" s="24">
        <v>6646</v>
      </c>
      <c r="P112" s="24">
        <v>7975</v>
      </c>
      <c r="Q112" s="24">
        <v>9570</v>
      </c>
      <c r="R112" s="24">
        <v>11484</v>
      </c>
      <c r="S112" s="24">
        <v>13781</v>
      </c>
      <c r="T112" s="24">
        <v>16537</v>
      </c>
      <c r="U112" s="24">
        <v>19844</v>
      </c>
      <c r="V112" s="24">
        <v>23813</v>
      </c>
      <c r="W112" s="35">
        <v>250</v>
      </c>
      <c r="X112" s="35">
        <v>260</v>
      </c>
      <c r="Y112" s="35">
        <v>260</v>
      </c>
      <c r="Z112" s="35">
        <v>270</v>
      </c>
      <c r="AA112" s="35">
        <v>279</v>
      </c>
      <c r="AB112" s="24">
        <v>1932</v>
      </c>
      <c r="AF112" s="4"/>
      <c r="AG112" s="4"/>
      <c r="AH112" s="4"/>
    </row>
    <row r="113" s="1" customFormat="1" spans="1:34">
      <c r="A113" s="24">
        <v>15</v>
      </c>
      <c r="B113" s="24">
        <v>2754</v>
      </c>
      <c r="C113" s="24">
        <v>379</v>
      </c>
      <c r="D113" s="24">
        <v>1517</v>
      </c>
      <c r="E113" s="24">
        <v>1179</v>
      </c>
      <c r="F113" s="24">
        <v>1415</v>
      </c>
      <c r="G113" s="24">
        <v>1698</v>
      </c>
      <c r="H113" s="24">
        <v>2038</v>
      </c>
      <c r="I113" s="24">
        <v>2446</v>
      </c>
      <c r="J113" s="24">
        <v>2935</v>
      </c>
      <c r="K113" s="24">
        <v>3522</v>
      </c>
      <c r="L113" s="24">
        <v>4226</v>
      </c>
      <c r="M113" s="24">
        <v>5071</v>
      </c>
      <c r="N113" s="24">
        <v>6085</v>
      </c>
      <c r="O113" s="24">
        <v>7302</v>
      </c>
      <c r="P113" s="24">
        <v>8762</v>
      </c>
      <c r="Q113" s="24">
        <v>10514</v>
      </c>
      <c r="R113" s="24">
        <v>12617</v>
      </c>
      <c r="S113" s="24">
        <v>15140</v>
      </c>
      <c r="T113" s="24">
        <v>18168</v>
      </c>
      <c r="U113" s="24">
        <v>21802</v>
      </c>
      <c r="V113" s="24">
        <v>26162</v>
      </c>
      <c r="W113" s="35">
        <v>243</v>
      </c>
      <c r="X113" s="35">
        <v>260</v>
      </c>
      <c r="Y113" s="35">
        <v>260</v>
      </c>
      <c r="Z113" s="35">
        <v>260</v>
      </c>
      <c r="AA113" s="35">
        <v>269</v>
      </c>
      <c r="AB113" s="24">
        <v>2022</v>
      </c>
      <c r="AF113" s="4"/>
      <c r="AG113" s="4"/>
      <c r="AH113" s="4"/>
    </row>
    <row r="114" s="1" customFormat="1" spans="1:34">
      <c r="A114" s="24">
        <v>16</v>
      </c>
      <c r="B114" s="24">
        <v>3078</v>
      </c>
      <c r="C114" s="24">
        <v>379</v>
      </c>
      <c r="D114" s="24">
        <v>1517</v>
      </c>
      <c r="E114" s="24">
        <v>1694</v>
      </c>
      <c r="F114" s="24">
        <v>2033</v>
      </c>
      <c r="G114" s="24">
        <v>2440</v>
      </c>
      <c r="H114" s="24">
        <v>2928</v>
      </c>
      <c r="I114" s="24">
        <v>3514</v>
      </c>
      <c r="J114" s="24">
        <v>4217</v>
      </c>
      <c r="K114" s="24">
        <v>5060</v>
      </c>
      <c r="L114" s="24">
        <v>6072</v>
      </c>
      <c r="M114" s="24">
        <v>7286</v>
      </c>
      <c r="N114" s="24">
        <v>8743</v>
      </c>
      <c r="O114" s="24">
        <v>10492</v>
      </c>
      <c r="P114" s="24">
        <v>12590</v>
      </c>
      <c r="Q114" s="24">
        <v>15108</v>
      </c>
      <c r="R114" s="24">
        <v>18130</v>
      </c>
      <c r="S114" s="24">
        <v>21756</v>
      </c>
      <c r="T114" s="24">
        <v>26107</v>
      </c>
      <c r="U114" s="24">
        <v>31328</v>
      </c>
      <c r="V114" s="24">
        <v>37594</v>
      </c>
      <c r="W114" s="35">
        <v>347</v>
      </c>
      <c r="X114" s="35">
        <v>370</v>
      </c>
      <c r="Y114" s="35">
        <v>370</v>
      </c>
      <c r="Z114" s="35">
        <v>381</v>
      </c>
      <c r="AA114" s="35">
        <v>393</v>
      </c>
      <c r="AB114" s="24">
        <v>2888</v>
      </c>
      <c r="AF114" s="4"/>
      <c r="AG114" s="4"/>
      <c r="AH114" s="4"/>
    </row>
    <row r="115" s="1" customFormat="1" spans="1:34">
      <c r="A115" s="24">
        <v>17</v>
      </c>
      <c r="B115" s="24">
        <v>3402</v>
      </c>
      <c r="C115" s="24">
        <v>379</v>
      </c>
      <c r="D115" s="24">
        <v>1517</v>
      </c>
      <c r="E115" s="24">
        <v>2306</v>
      </c>
      <c r="F115" s="24">
        <v>2767</v>
      </c>
      <c r="G115" s="24">
        <v>3320</v>
      </c>
      <c r="H115" s="24">
        <v>3984</v>
      </c>
      <c r="I115" s="24">
        <v>4781</v>
      </c>
      <c r="J115" s="24">
        <v>5737</v>
      </c>
      <c r="K115" s="24">
        <v>6884</v>
      </c>
      <c r="L115" s="24">
        <v>8261</v>
      </c>
      <c r="M115" s="24">
        <v>9913</v>
      </c>
      <c r="N115" s="24">
        <v>11896</v>
      </c>
      <c r="O115" s="24">
        <v>14275</v>
      </c>
      <c r="P115" s="24">
        <v>17130</v>
      </c>
      <c r="Q115" s="24">
        <v>20556</v>
      </c>
      <c r="R115" s="24">
        <v>24667</v>
      </c>
      <c r="S115" s="24">
        <v>29600</v>
      </c>
      <c r="T115" s="24">
        <v>35520</v>
      </c>
      <c r="U115" s="24">
        <v>42624</v>
      </c>
      <c r="V115" s="24">
        <v>51149</v>
      </c>
      <c r="W115" s="35">
        <v>370</v>
      </c>
      <c r="X115" s="35">
        <v>393</v>
      </c>
      <c r="Y115" s="35">
        <v>393</v>
      </c>
      <c r="Z115" s="35">
        <v>404</v>
      </c>
      <c r="AA115" s="35">
        <v>416</v>
      </c>
      <c r="AB115" s="24">
        <v>4061</v>
      </c>
      <c r="AF115" s="4"/>
      <c r="AG115" s="4"/>
      <c r="AH115" s="4"/>
    </row>
    <row r="116" s="1" customFormat="1" spans="1:34">
      <c r="A116" s="24">
        <v>18</v>
      </c>
      <c r="B116" s="24">
        <v>3726</v>
      </c>
      <c r="C116" s="24">
        <v>379</v>
      </c>
      <c r="D116" s="24">
        <v>1517</v>
      </c>
      <c r="E116" s="24">
        <v>2669</v>
      </c>
      <c r="F116" s="24">
        <v>3203</v>
      </c>
      <c r="G116" s="24">
        <v>3844</v>
      </c>
      <c r="H116" s="24">
        <v>4613</v>
      </c>
      <c r="I116" s="24">
        <v>5536</v>
      </c>
      <c r="J116" s="24">
        <v>6643</v>
      </c>
      <c r="K116" s="24">
        <v>7972</v>
      </c>
      <c r="L116" s="24">
        <v>9566</v>
      </c>
      <c r="M116" s="24">
        <v>11479</v>
      </c>
      <c r="N116" s="24">
        <v>13775</v>
      </c>
      <c r="O116" s="24">
        <v>16530</v>
      </c>
      <c r="P116" s="24">
        <v>19836</v>
      </c>
      <c r="Q116" s="24">
        <v>23803</v>
      </c>
      <c r="R116" s="24">
        <v>28564</v>
      </c>
      <c r="S116" s="24">
        <v>34277</v>
      </c>
      <c r="T116" s="24">
        <v>41132</v>
      </c>
      <c r="U116" s="24">
        <v>49358</v>
      </c>
      <c r="V116" s="24">
        <v>59230</v>
      </c>
      <c r="W116" s="35">
        <v>425</v>
      </c>
      <c r="X116" s="35">
        <v>450</v>
      </c>
      <c r="Y116" s="35">
        <v>450</v>
      </c>
      <c r="Z116" s="35">
        <v>463</v>
      </c>
      <c r="AA116" s="35">
        <v>488</v>
      </c>
      <c r="AB116" s="24">
        <v>4505</v>
      </c>
      <c r="AF116" s="4"/>
      <c r="AG116" s="4"/>
      <c r="AH116" s="4"/>
    </row>
    <row r="117" s="1" customFormat="1" spans="1:34">
      <c r="A117" s="24">
        <v>19</v>
      </c>
      <c r="B117" s="24">
        <v>4050</v>
      </c>
      <c r="C117" s="24">
        <v>379</v>
      </c>
      <c r="D117" s="24">
        <v>1517</v>
      </c>
      <c r="E117" s="24">
        <v>3128</v>
      </c>
      <c r="F117" s="24">
        <v>3754</v>
      </c>
      <c r="G117" s="24">
        <v>4505</v>
      </c>
      <c r="H117" s="24">
        <v>5406</v>
      </c>
      <c r="I117" s="24">
        <v>6487</v>
      </c>
      <c r="J117" s="24">
        <v>7784</v>
      </c>
      <c r="K117" s="24">
        <v>9341</v>
      </c>
      <c r="L117" s="24">
        <v>11209</v>
      </c>
      <c r="M117" s="24">
        <v>13451</v>
      </c>
      <c r="N117" s="24">
        <v>16141</v>
      </c>
      <c r="O117" s="24">
        <v>19369</v>
      </c>
      <c r="P117" s="24">
        <v>23243</v>
      </c>
      <c r="Q117" s="24">
        <v>27892</v>
      </c>
      <c r="R117" s="24">
        <v>33470</v>
      </c>
      <c r="S117" s="24">
        <v>40164</v>
      </c>
      <c r="T117" s="24">
        <v>48197</v>
      </c>
      <c r="U117" s="24">
        <v>57836</v>
      </c>
      <c r="V117" s="24">
        <v>69403</v>
      </c>
      <c r="W117" s="35">
        <v>450</v>
      </c>
      <c r="X117" s="35">
        <v>488</v>
      </c>
      <c r="Y117" s="35">
        <v>488</v>
      </c>
      <c r="Z117" s="35">
        <v>501</v>
      </c>
      <c r="AA117" s="35">
        <v>513</v>
      </c>
      <c r="AB117" s="24">
        <v>5444</v>
      </c>
      <c r="AF117" s="4"/>
      <c r="AG117" s="4"/>
      <c r="AH117" s="4"/>
    </row>
    <row r="118" s="1" customFormat="1" spans="1:34">
      <c r="A118" s="24">
        <v>20</v>
      </c>
      <c r="B118" s="24">
        <v>4536</v>
      </c>
      <c r="C118" s="24">
        <v>379</v>
      </c>
      <c r="D118" s="24">
        <v>1517</v>
      </c>
      <c r="E118" s="24">
        <v>3338</v>
      </c>
      <c r="F118" s="24">
        <v>4006</v>
      </c>
      <c r="G118" s="24">
        <v>4807</v>
      </c>
      <c r="H118" s="24">
        <v>5768</v>
      </c>
      <c r="I118" s="24">
        <v>6922</v>
      </c>
      <c r="J118" s="24">
        <v>8306</v>
      </c>
      <c r="K118" s="24">
        <v>9967</v>
      </c>
      <c r="L118" s="24">
        <v>11960</v>
      </c>
      <c r="M118" s="24">
        <v>14352</v>
      </c>
      <c r="N118" s="24">
        <v>17222</v>
      </c>
      <c r="O118" s="24">
        <v>20666</v>
      </c>
      <c r="P118" s="24">
        <v>24799</v>
      </c>
      <c r="Q118" s="24">
        <v>29759</v>
      </c>
      <c r="R118" s="24">
        <v>35711</v>
      </c>
      <c r="S118" s="24">
        <v>42853</v>
      </c>
      <c r="T118" s="24">
        <v>51424</v>
      </c>
      <c r="U118" s="24">
        <v>61709</v>
      </c>
      <c r="V118" s="24">
        <v>74051</v>
      </c>
      <c r="W118" s="35">
        <v>389</v>
      </c>
      <c r="X118" s="35">
        <v>420</v>
      </c>
      <c r="Y118" s="35">
        <v>420</v>
      </c>
      <c r="Z118" s="35">
        <v>430</v>
      </c>
      <c r="AA118" s="35">
        <v>450</v>
      </c>
      <c r="AB118" s="24">
        <v>5970</v>
      </c>
      <c r="AF118" s="4"/>
      <c r="AG118" s="4"/>
      <c r="AH118" s="4"/>
    </row>
    <row r="120" spans="1:1">
      <c r="A120" s="4" t="s">
        <v>560</v>
      </c>
    </row>
    <row r="121" s="1" customFormat="1" ht="16.2" spans="1:34">
      <c r="A121" s="2" t="s">
        <v>528</v>
      </c>
      <c r="B121" s="2" t="s">
        <v>529</v>
      </c>
      <c r="C121" s="2" t="s">
        <v>530</v>
      </c>
      <c r="D121" s="2" t="s">
        <v>531</v>
      </c>
      <c r="E121" s="2" t="s">
        <v>532</v>
      </c>
      <c r="F121" s="2" t="s">
        <v>533</v>
      </c>
      <c r="G121" s="2" t="s">
        <v>534</v>
      </c>
      <c r="H121" s="2" t="s">
        <v>535</v>
      </c>
      <c r="I121" s="2" t="s">
        <v>536</v>
      </c>
      <c r="J121" s="2" t="s">
        <v>537</v>
      </c>
      <c r="K121" s="2" t="s">
        <v>538</v>
      </c>
      <c r="L121" s="2" t="s">
        <v>539</v>
      </c>
      <c r="M121" s="2" t="s">
        <v>540</v>
      </c>
      <c r="N121" s="2" t="s">
        <v>541</v>
      </c>
      <c r="O121" s="2" t="s">
        <v>542</v>
      </c>
      <c r="P121" s="2" t="s">
        <v>543</v>
      </c>
      <c r="Q121" s="2" t="s">
        <v>544</v>
      </c>
      <c r="R121" s="2" t="s">
        <v>545</v>
      </c>
      <c r="S121" s="2" t="s">
        <v>546</v>
      </c>
      <c r="T121" s="2" t="s">
        <v>547</v>
      </c>
      <c r="U121" s="2" t="s">
        <v>548</v>
      </c>
      <c r="V121" s="2" t="s">
        <v>549</v>
      </c>
      <c r="W121" s="2" t="s">
        <v>550</v>
      </c>
      <c r="X121" s="2" t="s">
        <v>551</v>
      </c>
      <c r="Y121" s="2" t="s">
        <v>552</v>
      </c>
      <c r="Z121" s="2" t="s">
        <v>553</v>
      </c>
      <c r="AA121" s="2" t="s">
        <v>554</v>
      </c>
      <c r="AB121" s="2" t="s">
        <v>555</v>
      </c>
      <c r="AF121" s="4"/>
      <c r="AG121" s="4"/>
      <c r="AH121" s="4"/>
    </row>
    <row r="122" spans="1:34">
      <c r="A122" s="4">
        <v>1</v>
      </c>
      <c r="C122" s="4">
        <v>18</v>
      </c>
      <c r="D122" s="4">
        <v>5</v>
      </c>
      <c r="E122" s="4">
        <v>11</v>
      </c>
      <c r="F122" s="4">
        <v>11</v>
      </c>
      <c r="G122" s="4">
        <v>11</v>
      </c>
      <c r="H122" s="4">
        <v>11</v>
      </c>
      <c r="I122" s="4">
        <v>11</v>
      </c>
      <c r="J122" s="4">
        <v>11</v>
      </c>
      <c r="K122" s="4">
        <v>11</v>
      </c>
      <c r="L122" s="4">
        <v>11</v>
      </c>
      <c r="M122" s="4">
        <v>11</v>
      </c>
      <c r="N122" s="4">
        <v>11</v>
      </c>
      <c r="O122" s="4">
        <v>11</v>
      </c>
      <c r="P122" s="4">
        <v>11</v>
      </c>
      <c r="Q122" s="4">
        <v>11</v>
      </c>
      <c r="R122" s="4">
        <v>11</v>
      </c>
      <c r="S122" s="4">
        <v>11</v>
      </c>
      <c r="T122" s="4">
        <v>11</v>
      </c>
      <c r="U122" s="4">
        <v>11</v>
      </c>
      <c r="V122" s="4">
        <v>11</v>
      </c>
      <c r="W122">
        <v>18</v>
      </c>
      <c r="X122">
        <v>18</v>
      </c>
      <c r="Y122">
        <v>18</v>
      </c>
      <c r="Z122">
        <v>18</v>
      </c>
      <c r="AA122">
        <v>18</v>
      </c>
      <c r="AB122">
        <v>15</v>
      </c>
      <c r="AC122">
        <v>20</v>
      </c>
      <c r="AD122">
        <v>26</v>
      </c>
      <c r="AF122" s="4">
        <v>21</v>
      </c>
      <c r="AG122" s="4">
        <v>10547.9</v>
      </c>
      <c r="AH122" s="4">
        <v>1.1</v>
      </c>
    </row>
    <row r="123" spans="1:34">
      <c r="A123" s="4">
        <v>2</v>
      </c>
      <c r="C123" s="4">
        <v>32</v>
      </c>
      <c r="D123" s="4">
        <v>9</v>
      </c>
      <c r="E123" s="4">
        <v>21</v>
      </c>
      <c r="F123" s="4">
        <v>21</v>
      </c>
      <c r="G123" s="4">
        <v>21</v>
      </c>
      <c r="H123" s="4">
        <v>21</v>
      </c>
      <c r="I123" s="4">
        <v>21</v>
      </c>
      <c r="J123" s="4">
        <v>21</v>
      </c>
      <c r="K123" s="4">
        <v>21</v>
      </c>
      <c r="L123" s="4">
        <v>21</v>
      </c>
      <c r="M123" s="4">
        <v>21</v>
      </c>
      <c r="N123" s="4">
        <v>21</v>
      </c>
      <c r="O123" s="4">
        <v>21</v>
      </c>
      <c r="P123" s="4">
        <v>21</v>
      </c>
      <c r="Q123" s="4">
        <v>21</v>
      </c>
      <c r="R123" s="4">
        <v>21</v>
      </c>
      <c r="S123" s="4">
        <v>21</v>
      </c>
      <c r="T123" s="4">
        <v>21</v>
      </c>
      <c r="U123" s="4">
        <v>21</v>
      </c>
      <c r="V123" s="4">
        <v>21</v>
      </c>
      <c r="W123">
        <v>37</v>
      </c>
      <c r="X123">
        <v>37</v>
      </c>
      <c r="Y123">
        <v>37</v>
      </c>
      <c r="Z123">
        <v>37</v>
      </c>
      <c r="AA123">
        <v>37</v>
      </c>
      <c r="AB123">
        <v>35</v>
      </c>
      <c r="AC123">
        <v>40</v>
      </c>
      <c r="AD123">
        <v>53</v>
      </c>
      <c r="AF123" s="4">
        <v>22</v>
      </c>
      <c r="AG123" s="4">
        <v>11603</v>
      </c>
      <c r="AH123" s="4">
        <v>1.21</v>
      </c>
    </row>
    <row r="124" spans="1:34">
      <c r="A124" s="4">
        <v>3</v>
      </c>
      <c r="C124" s="4">
        <v>66</v>
      </c>
      <c r="D124" s="4">
        <v>26</v>
      </c>
      <c r="E124" s="4">
        <v>53</v>
      </c>
      <c r="F124" s="4">
        <v>53</v>
      </c>
      <c r="G124" s="4">
        <v>53</v>
      </c>
      <c r="H124" s="4">
        <v>53</v>
      </c>
      <c r="I124" s="4">
        <v>53</v>
      </c>
      <c r="J124" s="4">
        <v>53</v>
      </c>
      <c r="K124" s="4">
        <v>53</v>
      </c>
      <c r="L124" s="4">
        <v>53</v>
      </c>
      <c r="M124" s="4">
        <v>53</v>
      </c>
      <c r="N124" s="4">
        <v>53</v>
      </c>
      <c r="O124" s="4">
        <v>53</v>
      </c>
      <c r="P124" s="4">
        <v>53</v>
      </c>
      <c r="Q124" s="4">
        <v>53</v>
      </c>
      <c r="R124" s="4">
        <v>53</v>
      </c>
      <c r="S124" s="4">
        <v>53</v>
      </c>
      <c r="T124" s="4">
        <v>53</v>
      </c>
      <c r="U124" s="4">
        <v>53</v>
      </c>
      <c r="V124" s="4">
        <v>53</v>
      </c>
      <c r="W124">
        <v>63</v>
      </c>
      <c r="X124">
        <v>63</v>
      </c>
      <c r="Y124">
        <v>63</v>
      </c>
      <c r="Z124">
        <v>63</v>
      </c>
      <c r="AA124">
        <v>63</v>
      </c>
      <c r="AB124">
        <v>71</v>
      </c>
      <c r="AC124">
        <v>98</v>
      </c>
      <c r="AD124">
        <v>131</v>
      </c>
      <c r="AF124" s="4">
        <v>23</v>
      </c>
      <c r="AG124" s="4">
        <v>12763</v>
      </c>
      <c r="AH124" s="4">
        <v>1.331</v>
      </c>
    </row>
    <row r="125" spans="1:34">
      <c r="A125" s="4">
        <v>4</v>
      </c>
      <c r="C125" s="4">
        <v>76</v>
      </c>
      <c r="D125" s="4">
        <v>61</v>
      </c>
      <c r="E125" s="4">
        <v>76</v>
      </c>
      <c r="F125" s="4">
        <v>76</v>
      </c>
      <c r="G125" s="4">
        <v>76</v>
      </c>
      <c r="H125" s="4">
        <v>76</v>
      </c>
      <c r="I125" s="4">
        <v>76</v>
      </c>
      <c r="J125" s="4">
        <v>76</v>
      </c>
      <c r="K125" s="4">
        <v>76</v>
      </c>
      <c r="L125" s="4">
        <v>76</v>
      </c>
      <c r="M125" s="4">
        <v>76</v>
      </c>
      <c r="N125" s="4">
        <v>76</v>
      </c>
      <c r="O125" s="4">
        <v>76</v>
      </c>
      <c r="P125" s="4">
        <v>76</v>
      </c>
      <c r="Q125" s="4">
        <v>76</v>
      </c>
      <c r="R125" s="4">
        <v>76</v>
      </c>
      <c r="S125" s="4">
        <v>76</v>
      </c>
      <c r="T125" s="4">
        <v>76</v>
      </c>
      <c r="U125" s="4">
        <v>76</v>
      </c>
      <c r="V125" s="4">
        <v>76</v>
      </c>
      <c r="W125">
        <v>74</v>
      </c>
      <c r="X125">
        <v>74</v>
      </c>
      <c r="Y125">
        <v>74</v>
      </c>
      <c r="Z125">
        <v>74</v>
      </c>
      <c r="AA125">
        <v>74</v>
      </c>
      <c r="AB125">
        <v>143</v>
      </c>
      <c r="AC125">
        <v>178</v>
      </c>
      <c r="AD125">
        <v>237</v>
      </c>
      <c r="AF125" s="4">
        <v>24</v>
      </c>
      <c r="AG125" s="4">
        <v>14039</v>
      </c>
      <c r="AH125" s="4">
        <v>1.4641</v>
      </c>
    </row>
    <row r="126" spans="1:34">
      <c r="A126" s="4">
        <v>5</v>
      </c>
      <c r="C126" s="4">
        <v>51</v>
      </c>
      <c r="D126" s="4">
        <v>53</v>
      </c>
      <c r="E126" s="4">
        <v>62</v>
      </c>
      <c r="F126" s="4">
        <v>62</v>
      </c>
      <c r="G126" s="4">
        <v>62</v>
      </c>
      <c r="H126" s="4">
        <v>62</v>
      </c>
      <c r="I126" s="4">
        <v>62</v>
      </c>
      <c r="J126" s="4">
        <v>62</v>
      </c>
      <c r="K126" s="4">
        <v>62</v>
      </c>
      <c r="L126" s="4">
        <v>62</v>
      </c>
      <c r="M126" s="4">
        <v>62</v>
      </c>
      <c r="N126" s="4">
        <v>71</v>
      </c>
      <c r="O126" s="4">
        <v>82</v>
      </c>
      <c r="P126" s="4">
        <v>94</v>
      </c>
      <c r="Q126" s="4">
        <v>108</v>
      </c>
      <c r="R126" s="4">
        <v>124</v>
      </c>
      <c r="S126" s="4">
        <v>143</v>
      </c>
      <c r="T126" s="4">
        <v>164</v>
      </c>
      <c r="U126" s="4">
        <v>189</v>
      </c>
      <c r="V126" s="4">
        <v>217</v>
      </c>
      <c r="W126">
        <v>53</v>
      </c>
      <c r="X126">
        <v>53</v>
      </c>
      <c r="Y126">
        <v>53</v>
      </c>
      <c r="Z126">
        <v>53</v>
      </c>
      <c r="AA126">
        <v>53</v>
      </c>
      <c r="AB126">
        <v>240</v>
      </c>
      <c r="AC126">
        <v>306</v>
      </c>
      <c r="AD126">
        <v>204</v>
      </c>
      <c r="AF126" s="4">
        <v>25</v>
      </c>
      <c r="AG126" s="4">
        <v>15443</v>
      </c>
      <c r="AH126" s="4">
        <v>1.61051</v>
      </c>
    </row>
    <row r="127" spans="1:34">
      <c r="A127" s="4">
        <v>6</v>
      </c>
      <c r="C127" s="4">
        <v>168</v>
      </c>
      <c r="D127" s="4">
        <v>181</v>
      </c>
      <c r="E127" s="4">
        <v>174</v>
      </c>
      <c r="F127" s="4">
        <v>174</v>
      </c>
      <c r="G127" s="4">
        <v>174</v>
      </c>
      <c r="H127" s="4">
        <v>174</v>
      </c>
      <c r="I127" s="4">
        <v>174</v>
      </c>
      <c r="J127" s="4">
        <v>174</v>
      </c>
      <c r="K127" s="4">
        <v>174</v>
      </c>
      <c r="L127" s="4">
        <v>174</v>
      </c>
      <c r="M127" s="4">
        <v>174</v>
      </c>
      <c r="N127" s="4">
        <v>200</v>
      </c>
      <c r="O127" s="4">
        <v>230</v>
      </c>
      <c r="P127" s="4">
        <v>265</v>
      </c>
      <c r="Q127" s="4">
        <v>305</v>
      </c>
      <c r="R127" s="4">
        <v>351</v>
      </c>
      <c r="S127" s="4">
        <v>404</v>
      </c>
      <c r="T127" s="4">
        <v>465</v>
      </c>
      <c r="U127" s="4">
        <v>535</v>
      </c>
      <c r="V127" s="4">
        <v>615</v>
      </c>
      <c r="W127">
        <v>130</v>
      </c>
      <c r="X127">
        <v>130</v>
      </c>
      <c r="Y127">
        <v>130</v>
      </c>
      <c r="Z127">
        <v>130</v>
      </c>
      <c r="AA127">
        <v>130</v>
      </c>
      <c r="AB127">
        <v>368</v>
      </c>
      <c r="AC127">
        <v>1042</v>
      </c>
      <c r="AD127">
        <v>689</v>
      </c>
      <c r="AF127" s="4">
        <v>26</v>
      </c>
      <c r="AG127" s="4">
        <v>16987</v>
      </c>
      <c r="AH127" s="4">
        <v>1.771561</v>
      </c>
    </row>
    <row r="128" spans="1:34">
      <c r="A128" s="4">
        <v>7</v>
      </c>
      <c r="C128" s="4">
        <v>331</v>
      </c>
      <c r="D128" s="4">
        <v>296</v>
      </c>
      <c r="E128" s="4">
        <v>302</v>
      </c>
      <c r="F128" s="4">
        <v>302</v>
      </c>
      <c r="G128" s="4">
        <v>302</v>
      </c>
      <c r="H128" s="4">
        <v>302</v>
      </c>
      <c r="I128" s="4">
        <v>302</v>
      </c>
      <c r="J128" s="4">
        <v>302</v>
      </c>
      <c r="K128" s="4">
        <v>302</v>
      </c>
      <c r="L128" s="4">
        <v>302</v>
      </c>
      <c r="M128" s="4">
        <v>302</v>
      </c>
      <c r="N128" s="4">
        <v>347</v>
      </c>
      <c r="O128" s="4">
        <v>399</v>
      </c>
      <c r="P128" s="4">
        <v>459</v>
      </c>
      <c r="Q128" s="4">
        <v>528</v>
      </c>
      <c r="R128" s="4">
        <v>607</v>
      </c>
      <c r="S128" s="4">
        <v>698</v>
      </c>
      <c r="T128" s="4">
        <v>803</v>
      </c>
      <c r="U128" s="4">
        <v>923</v>
      </c>
      <c r="V128" s="4">
        <v>1061</v>
      </c>
      <c r="W128">
        <v>154</v>
      </c>
      <c r="X128">
        <v>154</v>
      </c>
      <c r="Y128">
        <v>154</v>
      </c>
      <c r="Z128">
        <v>154</v>
      </c>
      <c r="AA128">
        <v>154</v>
      </c>
      <c r="AB128">
        <v>547</v>
      </c>
      <c r="AC128">
        <v>1544</v>
      </c>
      <c r="AD128">
        <v>1024</v>
      </c>
      <c r="AF128" s="4">
        <v>27</v>
      </c>
      <c r="AG128" s="4">
        <v>18686</v>
      </c>
      <c r="AH128" s="4">
        <v>1.9487171</v>
      </c>
    </row>
    <row r="129" spans="1:34">
      <c r="A129" s="4">
        <v>8</v>
      </c>
      <c r="C129" s="4">
        <v>417</v>
      </c>
      <c r="D129" s="4">
        <v>476</v>
      </c>
      <c r="E129" s="4">
        <v>428</v>
      </c>
      <c r="F129" s="4">
        <v>428</v>
      </c>
      <c r="G129" s="4">
        <v>428</v>
      </c>
      <c r="H129" s="4">
        <v>428</v>
      </c>
      <c r="I129" s="4">
        <v>428</v>
      </c>
      <c r="J129" s="4">
        <v>428</v>
      </c>
      <c r="K129" s="4">
        <v>428</v>
      </c>
      <c r="L129" s="4">
        <v>492</v>
      </c>
      <c r="M129" s="4">
        <v>566</v>
      </c>
      <c r="N129" s="4">
        <v>651</v>
      </c>
      <c r="O129" s="4">
        <v>749</v>
      </c>
      <c r="P129" s="4">
        <v>861</v>
      </c>
      <c r="Q129" s="4">
        <v>990</v>
      </c>
      <c r="R129" s="4">
        <v>1139</v>
      </c>
      <c r="S129" s="4">
        <v>1310</v>
      </c>
      <c r="T129" s="4">
        <v>1507</v>
      </c>
      <c r="U129" s="4">
        <v>1733</v>
      </c>
      <c r="V129" s="4">
        <v>1993</v>
      </c>
      <c r="W129">
        <v>165</v>
      </c>
      <c r="X129">
        <v>165</v>
      </c>
      <c r="Y129">
        <v>165</v>
      </c>
      <c r="Z129">
        <v>165</v>
      </c>
      <c r="AA129">
        <v>165</v>
      </c>
      <c r="AB129">
        <v>741</v>
      </c>
      <c r="AC129">
        <v>2772</v>
      </c>
      <c r="AD129">
        <v>1389</v>
      </c>
      <c r="AF129" s="4">
        <v>28</v>
      </c>
      <c r="AG129" s="4">
        <v>20555</v>
      </c>
      <c r="AH129" s="4">
        <v>2.14358881</v>
      </c>
    </row>
    <row r="130" spans="1:34">
      <c r="A130" s="4">
        <v>9</v>
      </c>
      <c r="C130" s="4">
        <v>495</v>
      </c>
      <c r="D130" s="4">
        <v>633</v>
      </c>
      <c r="E130" s="4">
        <v>499</v>
      </c>
      <c r="F130" s="4">
        <v>499</v>
      </c>
      <c r="G130" s="4">
        <v>499</v>
      </c>
      <c r="H130" s="4">
        <v>499</v>
      </c>
      <c r="I130" s="4">
        <v>499</v>
      </c>
      <c r="J130" s="4">
        <v>574</v>
      </c>
      <c r="K130" s="4">
        <v>660</v>
      </c>
      <c r="L130" s="4">
        <v>759</v>
      </c>
      <c r="M130" s="4">
        <v>873</v>
      </c>
      <c r="N130" s="4">
        <v>1004</v>
      </c>
      <c r="O130" s="4">
        <v>1155</v>
      </c>
      <c r="P130" s="4">
        <v>1328</v>
      </c>
      <c r="Q130" s="4">
        <v>1527</v>
      </c>
      <c r="R130" s="4">
        <v>1756</v>
      </c>
      <c r="S130" s="4">
        <v>2019</v>
      </c>
      <c r="T130" s="4">
        <v>2322</v>
      </c>
      <c r="U130" s="4">
        <v>2670</v>
      </c>
      <c r="V130" s="4">
        <v>3071</v>
      </c>
      <c r="W130">
        <v>189</v>
      </c>
      <c r="X130">
        <v>189</v>
      </c>
      <c r="Y130">
        <v>189</v>
      </c>
      <c r="Z130">
        <v>189</v>
      </c>
      <c r="AA130">
        <v>189</v>
      </c>
      <c r="AB130">
        <v>849</v>
      </c>
      <c r="AC130">
        <v>4450</v>
      </c>
      <c r="AD130">
        <v>1686</v>
      </c>
      <c r="AF130" s="4">
        <v>29</v>
      </c>
      <c r="AG130" s="4">
        <v>22611</v>
      </c>
      <c r="AH130" s="4">
        <v>2.357947691</v>
      </c>
    </row>
    <row r="131" spans="1:34">
      <c r="A131" s="4">
        <v>10</v>
      </c>
      <c r="C131" s="4">
        <v>404</v>
      </c>
      <c r="D131" s="4">
        <v>431</v>
      </c>
      <c r="E131" s="4">
        <v>308</v>
      </c>
      <c r="F131" s="4">
        <v>354</v>
      </c>
      <c r="G131" s="4">
        <v>407</v>
      </c>
      <c r="H131" s="4">
        <v>468</v>
      </c>
      <c r="I131" s="4">
        <v>538</v>
      </c>
      <c r="J131" s="4">
        <v>619</v>
      </c>
      <c r="K131" s="4">
        <v>712</v>
      </c>
      <c r="L131" s="4">
        <v>819</v>
      </c>
      <c r="M131" s="4">
        <v>942</v>
      </c>
      <c r="N131" s="4">
        <v>1083</v>
      </c>
      <c r="O131" s="4">
        <v>1245</v>
      </c>
      <c r="P131" s="4">
        <v>1432</v>
      </c>
      <c r="Q131" s="4">
        <v>1647</v>
      </c>
      <c r="R131" s="4">
        <v>1894</v>
      </c>
      <c r="S131" s="4">
        <v>2178</v>
      </c>
      <c r="T131" s="4">
        <v>2505</v>
      </c>
      <c r="U131" s="4">
        <v>2881</v>
      </c>
      <c r="V131" s="4">
        <v>3313</v>
      </c>
      <c r="W131">
        <v>118</v>
      </c>
      <c r="X131">
        <v>118</v>
      </c>
      <c r="Y131">
        <v>118</v>
      </c>
      <c r="Z131">
        <v>118</v>
      </c>
      <c r="AA131">
        <v>125</v>
      </c>
      <c r="AB131">
        <v>1160</v>
      </c>
      <c r="AC131">
        <v>5281</v>
      </c>
      <c r="AD131">
        <v>1145</v>
      </c>
      <c r="AF131" s="4">
        <v>30</v>
      </c>
      <c r="AG131" s="4">
        <v>24872</v>
      </c>
      <c r="AH131" s="4">
        <v>2.5937424601</v>
      </c>
    </row>
    <row r="132" spans="1:34">
      <c r="A132" s="4">
        <v>11</v>
      </c>
      <c r="C132" s="4">
        <v>404</v>
      </c>
      <c r="D132" s="4">
        <v>683</v>
      </c>
      <c r="E132" s="4">
        <v>621</v>
      </c>
      <c r="F132" s="4">
        <v>714</v>
      </c>
      <c r="G132" s="4">
        <v>821</v>
      </c>
      <c r="H132" s="4">
        <v>944</v>
      </c>
      <c r="I132" s="4">
        <v>1086</v>
      </c>
      <c r="J132" s="4">
        <v>1249</v>
      </c>
      <c r="K132" s="4">
        <v>1436</v>
      </c>
      <c r="L132" s="4">
        <v>1651</v>
      </c>
      <c r="M132" s="4">
        <v>1899</v>
      </c>
      <c r="N132" s="4">
        <v>2184</v>
      </c>
      <c r="O132" s="4">
        <v>2512</v>
      </c>
      <c r="P132" s="4">
        <v>2889</v>
      </c>
      <c r="Q132" s="4">
        <v>3322</v>
      </c>
      <c r="R132" s="4">
        <v>3820</v>
      </c>
      <c r="S132" s="4">
        <v>4393</v>
      </c>
      <c r="T132" s="4">
        <v>5052</v>
      </c>
      <c r="U132" s="4">
        <v>5810</v>
      </c>
      <c r="V132" s="4">
        <v>6682</v>
      </c>
      <c r="W132">
        <v>184</v>
      </c>
      <c r="X132">
        <v>184</v>
      </c>
      <c r="Y132">
        <v>184</v>
      </c>
      <c r="Z132">
        <v>184</v>
      </c>
      <c r="AA132">
        <v>184</v>
      </c>
      <c r="AB132">
        <v>1268</v>
      </c>
      <c r="AC132">
        <v>10214</v>
      </c>
      <c r="AD132">
        <v>2214</v>
      </c>
      <c r="AF132" s="4">
        <v>31</v>
      </c>
      <c r="AG132" s="4">
        <v>27359</v>
      </c>
      <c r="AH132" s="4">
        <v>2.85311670611</v>
      </c>
    </row>
    <row r="133" spans="1:34">
      <c r="A133" s="4">
        <v>12</v>
      </c>
      <c r="C133" s="4">
        <v>404</v>
      </c>
      <c r="D133" s="4">
        <v>815</v>
      </c>
      <c r="E133" s="4">
        <v>728</v>
      </c>
      <c r="F133" s="4">
        <v>837</v>
      </c>
      <c r="G133" s="4">
        <v>963</v>
      </c>
      <c r="H133" s="4">
        <v>1107</v>
      </c>
      <c r="I133" s="4">
        <v>1273</v>
      </c>
      <c r="J133" s="4">
        <v>1464</v>
      </c>
      <c r="K133" s="4">
        <v>1684</v>
      </c>
      <c r="L133" s="4">
        <v>1937</v>
      </c>
      <c r="M133" s="4">
        <v>2228</v>
      </c>
      <c r="N133" s="4">
        <v>2562</v>
      </c>
      <c r="O133" s="4">
        <v>2946</v>
      </c>
      <c r="P133" s="4">
        <v>3388</v>
      </c>
      <c r="Q133" s="4">
        <v>3896</v>
      </c>
      <c r="R133" s="4">
        <v>4480</v>
      </c>
      <c r="S133" s="4">
        <v>5152</v>
      </c>
      <c r="T133" s="4">
        <v>5925</v>
      </c>
      <c r="U133" s="4">
        <v>6814</v>
      </c>
      <c r="V133" s="4">
        <v>7836</v>
      </c>
      <c r="W133">
        <v>221</v>
      </c>
      <c r="X133">
        <v>221</v>
      </c>
      <c r="Y133">
        <v>221</v>
      </c>
      <c r="Z133">
        <v>221</v>
      </c>
      <c r="AA133">
        <v>231</v>
      </c>
      <c r="AB133">
        <v>1260</v>
      </c>
      <c r="AC133">
        <v>11631</v>
      </c>
      <c r="AD133">
        <v>2520</v>
      </c>
      <c r="AF133" s="4">
        <v>32</v>
      </c>
      <c r="AG133" s="4">
        <v>30095</v>
      </c>
      <c r="AH133" s="4">
        <v>3.138428376721</v>
      </c>
    </row>
    <row r="134" spans="1:34">
      <c r="A134" s="4">
        <v>13</v>
      </c>
      <c r="C134" s="4">
        <v>404</v>
      </c>
      <c r="D134" s="4">
        <v>995</v>
      </c>
      <c r="E134" s="4">
        <v>843</v>
      </c>
      <c r="F134" s="4">
        <v>969</v>
      </c>
      <c r="G134" s="4">
        <v>1114</v>
      </c>
      <c r="H134" s="4">
        <v>1281</v>
      </c>
      <c r="I134" s="4">
        <v>1473</v>
      </c>
      <c r="J134" s="4">
        <v>1694</v>
      </c>
      <c r="K134" s="4">
        <v>1948</v>
      </c>
      <c r="L134" s="4">
        <v>2240</v>
      </c>
      <c r="M134" s="4">
        <v>2576</v>
      </c>
      <c r="N134" s="4">
        <v>2962</v>
      </c>
      <c r="O134" s="4">
        <v>3406</v>
      </c>
      <c r="P134" s="4">
        <v>3917</v>
      </c>
      <c r="Q134" s="4">
        <v>4505</v>
      </c>
      <c r="R134" s="4">
        <v>5181</v>
      </c>
      <c r="S134" s="4">
        <v>5958</v>
      </c>
      <c r="T134" s="4">
        <v>6852</v>
      </c>
      <c r="U134" s="4">
        <v>7880</v>
      </c>
      <c r="V134" s="4">
        <v>9062</v>
      </c>
      <c r="W134">
        <v>241</v>
      </c>
      <c r="X134">
        <v>241</v>
      </c>
      <c r="Y134">
        <v>241</v>
      </c>
      <c r="Z134">
        <v>250</v>
      </c>
      <c r="AA134">
        <v>250</v>
      </c>
      <c r="AB134">
        <v>1515</v>
      </c>
      <c r="AC134">
        <v>13750</v>
      </c>
      <c r="AD134">
        <v>2983</v>
      </c>
      <c r="AF134" s="4">
        <v>33</v>
      </c>
      <c r="AG134" s="4">
        <v>33105</v>
      </c>
      <c r="AH134" s="4">
        <v>3.4522712143931</v>
      </c>
    </row>
    <row r="135" spans="1:34">
      <c r="A135" s="4">
        <v>14</v>
      </c>
      <c r="C135" s="4">
        <v>404</v>
      </c>
      <c r="D135" s="4">
        <v>1260</v>
      </c>
      <c r="E135" s="4">
        <v>1043</v>
      </c>
      <c r="F135" s="4">
        <v>1199</v>
      </c>
      <c r="G135" s="4">
        <v>1379</v>
      </c>
      <c r="H135" s="4">
        <v>1586</v>
      </c>
      <c r="I135" s="4">
        <v>1824</v>
      </c>
      <c r="J135" s="4">
        <v>2098</v>
      </c>
      <c r="K135" s="4">
        <v>2413</v>
      </c>
      <c r="L135" s="4">
        <v>2775</v>
      </c>
      <c r="M135" s="4">
        <v>3191</v>
      </c>
      <c r="N135" s="4">
        <v>3670</v>
      </c>
      <c r="O135" s="4">
        <v>4221</v>
      </c>
      <c r="P135" s="4">
        <v>4854</v>
      </c>
      <c r="Q135" s="4">
        <v>5582</v>
      </c>
      <c r="R135" s="4">
        <v>6419</v>
      </c>
      <c r="S135" s="4">
        <v>7382</v>
      </c>
      <c r="T135" s="4">
        <v>8489</v>
      </c>
      <c r="U135" s="4">
        <v>9762</v>
      </c>
      <c r="V135" s="4">
        <v>11226</v>
      </c>
      <c r="W135">
        <v>260</v>
      </c>
      <c r="X135">
        <v>260</v>
      </c>
      <c r="Y135">
        <v>260</v>
      </c>
      <c r="Z135">
        <v>270</v>
      </c>
      <c r="AA135">
        <v>279</v>
      </c>
      <c r="AB135">
        <v>1932</v>
      </c>
      <c r="AC135">
        <v>17341</v>
      </c>
      <c r="AD135">
        <v>3757</v>
      </c>
      <c r="AF135" s="4">
        <v>34</v>
      </c>
      <c r="AG135" s="4">
        <v>36416</v>
      </c>
      <c r="AH135" s="4">
        <v>3.79749833583241</v>
      </c>
    </row>
    <row r="136" spans="1:34">
      <c r="A136" s="4">
        <v>15</v>
      </c>
      <c r="C136" s="4">
        <v>404</v>
      </c>
      <c r="D136" s="4">
        <v>1327</v>
      </c>
      <c r="E136" s="4">
        <v>976</v>
      </c>
      <c r="F136" s="4">
        <v>1122</v>
      </c>
      <c r="G136" s="4">
        <v>1290</v>
      </c>
      <c r="H136" s="4">
        <v>1484</v>
      </c>
      <c r="I136" s="4">
        <v>1707</v>
      </c>
      <c r="J136" s="4">
        <v>1963</v>
      </c>
      <c r="K136" s="4">
        <v>2257</v>
      </c>
      <c r="L136" s="4">
        <v>2596</v>
      </c>
      <c r="M136" s="4">
        <v>2985</v>
      </c>
      <c r="N136" s="4">
        <v>3433</v>
      </c>
      <c r="O136" s="4">
        <v>3948</v>
      </c>
      <c r="P136" s="4">
        <v>4540</v>
      </c>
      <c r="Q136" s="4">
        <v>5221</v>
      </c>
      <c r="R136" s="4">
        <v>6004</v>
      </c>
      <c r="S136" s="4">
        <v>6905</v>
      </c>
      <c r="T136" s="4">
        <v>7941</v>
      </c>
      <c r="U136" s="4">
        <v>9132</v>
      </c>
      <c r="V136" s="4">
        <v>10502</v>
      </c>
      <c r="W136">
        <v>260</v>
      </c>
      <c r="X136">
        <v>260</v>
      </c>
      <c r="Y136">
        <v>260</v>
      </c>
      <c r="Z136">
        <v>260</v>
      </c>
      <c r="AA136">
        <v>269</v>
      </c>
      <c r="AB136">
        <v>2022</v>
      </c>
      <c r="AC136">
        <v>19428</v>
      </c>
      <c r="AD136">
        <v>4211</v>
      </c>
      <c r="AF136" s="4">
        <v>35</v>
      </c>
      <c r="AG136" s="4">
        <v>40058</v>
      </c>
      <c r="AH136" s="4">
        <v>4.17724816941566</v>
      </c>
    </row>
    <row r="137" spans="1:34">
      <c r="A137" s="4">
        <v>16</v>
      </c>
      <c r="C137" s="4">
        <v>404</v>
      </c>
      <c r="D137" s="4">
        <v>1327</v>
      </c>
      <c r="E137" s="4">
        <v>1585</v>
      </c>
      <c r="F137" s="4">
        <v>1823</v>
      </c>
      <c r="G137" s="4">
        <v>2096</v>
      </c>
      <c r="H137" s="4">
        <v>2410</v>
      </c>
      <c r="I137" s="4">
        <v>2772</v>
      </c>
      <c r="J137" s="4">
        <v>3188</v>
      </c>
      <c r="K137" s="4">
        <v>3666</v>
      </c>
      <c r="L137" s="4">
        <v>4216</v>
      </c>
      <c r="M137" s="4">
        <v>4848</v>
      </c>
      <c r="N137" s="4">
        <v>5575</v>
      </c>
      <c r="O137" s="4">
        <v>6411</v>
      </c>
      <c r="P137" s="4">
        <v>7373</v>
      </c>
      <c r="Q137" s="4">
        <v>8479</v>
      </c>
      <c r="R137" s="4">
        <v>9751</v>
      </c>
      <c r="S137" s="4">
        <v>11214</v>
      </c>
      <c r="T137" s="4">
        <v>12896</v>
      </c>
      <c r="U137" s="4">
        <v>14830</v>
      </c>
      <c r="V137" s="4">
        <v>17055</v>
      </c>
      <c r="W137">
        <v>370</v>
      </c>
      <c r="X137">
        <v>370</v>
      </c>
      <c r="Y137">
        <v>370</v>
      </c>
      <c r="Z137">
        <v>381</v>
      </c>
      <c r="AA137">
        <v>393</v>
      </c>
      <c r="AB137">
        <v>2888</v>
      </c>
      <c r="AC137">
        <v>28422</v>
      </c>
      <c r="AD137">
        <v>6160</v>
      </c>
      <c r="AF137" s="4">
        <v>36</v>
      </c>
      <c r="AG137" s="4">
        <v>44064</v>
      </c>
      <c r="AH137" s="4">
        <v>4.59497298635722</v>
      </c>
    </row>
    <row r="138" spans="1:34">
      <c r="A138" s="4">
        <v>17</v>
      </c>
      <c r="C138" s="4">
        <v>404</v>
      </c>
      <c r="D138" s="4">
        <v>1327</v>
      </c>
      <c r="E138" s="4">
        <v>2163</v>
      </c>
      <c r="F138" s="4">
        <v>2487</v>
      </c>
      <c r="G138" s="4">
        <v>2860</v>
      </c>
      <c r="H138" s="4">
        <v>3289</v>
      </c>
      <c r="I138" s="4">
        <v>3782</v>
      </c>
      <c r="J138" s="4">
        <v>4349</v>
      </c>
      <c r="K138" s="4">
        <v>5001</v>
      </c>
      <c r="L138" s="4">
        <v>5751</v>
      </c>
      <c r="M138" s="4">
        <v>6614</v>
      </c>
      <c r="N138" s="4">
        <v>7606</v>
      </c>
      <c r="O138" s="4">
        <v>8747</v>
      </c>
      <c r="P138" s="4">
        <v>10059</v>
      </c>
      <c r="Q138" s="4">
        <v>11568</v>
      </c>
      <c r="R138" s="4">
        <v>13303</v>
      </c>
      <c r="S138" s="4">
        <v>15298</v>
      </c>
      <c r="T138" s="4">
        <v>17593</v>
      </c>
      <c r="U138" s="4">
        <v>20232</v>
      </c>
      <c r="V138" s="4">
        <v>23267</v>
      </c>
      <c r="W138">
        <v>393</v>
      </c>
      <c r="X138">
        <v>393</v>
      </c>
      <c r="Y138">
        <v>393</v>
      </c>
      <c r="Z138">
        <v>404</v>
      </c>
      <c r="AA138">
        <v>416</v>
      </c>
      <c r="AB138">
        <v>4061</v>
      </c>
      <c r="AC138">
        <v>39309</v>
      </c>
      <c r="AD138">
        <v>8522</v>
      </c>
      <c r="AF138" s="4">
        <v>37</v>
      </c>
      <c r="AG138" s="4">
        <v>48470</v>
      </c>
      <c r="AH138" s="4">
        <v>5.05447028499295</v>
      </c>
    </row>
    <row r="139" spans="1:34">
      <c r="A139" s="4">
        <v>18</v>
      </c>
      <c r="C139" s="4">
        <v>404</v>
      </c>
      <c r="D139" s="4">
        <v>1327</v>
      </c>
      <c r="E139" s="4">
        <v>2510</v>
      </c>
      <c r="F139" s="4">
        <v>2887</v>
      </c>
      <c r="G139" s="4">
        <v>3320</v>
      </c>
      <c r="H139" s="4">
        <v>3818</v>
      </c>
      <c r="I139" s="4">
        <v>4391</v>
      </c>
      <c r="J139" s="4">
        <v>5050</v>
      </c>
      <c r="K139" s="4">
        <v>5808</v>
      </c>
      <c r="L139" s="4">
        <v>6679</v>
      </c>
      <c r="M139" s="4">
        <v>7681</v>
      </c>
      <c r="N139" s="4">
        <v>8833</v>
      </c>
      <c r="O139" s="4">
        <v>10158</v>
      </c>
      <c r="P139" s="4">
        <v>11682</v>
      </c>
      <c r="Q139" s="4">
        <v>13434</v>
      </c>
      <c r="R139" s="4">
        <v>15449</v>
      </c>
      <c r="S139" s="4">
        <v>17766</v>
      </c>
      <c r="T139" s="4">
        <v>20431</v>
      </c>
      <c r="U139" s="4">
        <v>23496</v>
      </c>
      <c r="V139" s="4">
        <v>27020</v>
      </c>
      <c r="W139">
        <v>450</v>
      </c>
      <c r="X139">
        <v>450</v>
      </c>
      <c r="Y139">
        <v>450</v>
      </c>
      <c r="Z139">
        <v>463</v>
      </c>
      <c r="AA139">
        <v>488</v>
      </c>
      <c r="AB139">
        <v>4505</v>
      </c>
      <c r="AC139">
        <v>46209</v>
      </c>
      <c r="AD139">
        <v>10010</v>
      </c>
      <c r="AF139" s="4">
        <v>38</v>
      </c>
      <c r="AG139" s="4">
        <v>53317</v>
      </c>
      <c r="AH139" s="4">
        <v>5.55991731349224</v>
      </c>
    </row>
    <row r="140" spans="1:34">
      <c r="A140" s="4">
        <v>19</v>
      </c>
      <c r="C140" s="4">
        <v>404</v>
      </c>
      <c r="D140" s="4">
        <v>1327</v>
      </c>
      <c r="E140" s="4">
        <v>2942</v>
      </c>
      <c r="F140" s="4">
        <v>3383</v>
      </c>
      <c r="G140" s="4">
        <v>3890</v>
      </c>
      <c r="H140" s="4">
        <v>4474</v>
      </c>
      <c r="I140" s="4">
        <v>5145</v>
      </c>
      <c r="J140" s="4">
        <v>5917</v>
      </c>
      <c r="K140" s="4">
        <v>6805</v>
      </c>
      <c r="L140" s="4">
        <v>7826</v>
      </c>
      <c r="M140" s="4">
        <v>9000</v>
      </c>
      <c r="N140" s="4">
        <v>10350</v>
      </c>
      <c r="O140" s="4">
        <v>11903</v>
      </c>
      <c r="P140" s="4">
        <v>13688</v>
      </c>
      <c r="Q140" s="4">
        <v>15741</v>
      </c>
      <c r="R140" s="4">
        <v>18102</v>
      </c>
      <c r="S140" s="4">
        <v>20817</v>
      </c>
      <c r="T140" s="4">
        <v>23940</v>
      </c>
      <c r="U140" s="4">
        <v>27531</v>
      </c>
      <c r="V140" s="4">
        <v>31661</v>
      </c>
      <c r="W140">
        <v>488</v>
      </c>
      <c r="X140">
        <v>488</v>
      </c>
      <c r="Y140">
        <v>488</v>
      </c>
      <c r="Z140">
        <v>501</v>
      </c>
      <c r="AA140">
        <v>513</v>
      </c>
      <c r="AB140">
        <v>5444</v>
      </c>
      <c r="AC140">
        <v>54855</v>
      </c>
      <c r="AD140">
        <v>11887</v>
      </c>
      <c r="AF140" s="4">
        <v>39</v>
      </c>
      <c r="AG140" s="4">
        <v>58649</v>
      </c>
      <c r="AH140" s="4">
        <v>6.11590904484146</v>
      </c>
    </row>
    <row r="141" spans="1:34">
      <c r="A141" s="4">
        <v>20</v>
      </c>
      <c r="C141" s="4">
        <v>404</v>
      </c>
      <c r="D141" s="4">
        <v>1327</v>
      </c>
      <c r="E141" s="4">
        <v>3134</v>
      </c>
      <c r="F141" s="4">
        <v>3604</v>
      </c>
      <c r="G141" s="4">
        <v>4145</v>
      </c>
      <c r="H141" s="4">
        <v>4767</v>
      </c>
      <c r="I141" s="4">
        <v>5482</v>
      </c>
      <c r="J141" s="4">
        <v>6304</v>
      </c>
      <c r="K141" s="4">
        <v>7250</v>
      </c>
      <c r="L141" s="4">
        <v>8338</v>
      </c>
      <c r="M141" s="4">
        <v>9589</v>
      </c>
      <c r="N141" s="4">
        <v>11027</v>
      </c>
      <c r="O141" s="4">
        <v>12681</v>
      </c>
      <c r="P141" s="4">
        <v>14583</v>
      </c>
      <c r="Q141" s="4">
        <v>16770</v>
      </c>
      <c r="R141" s="4">
        <v>19286</v>
      </c>
      <c r="S141" s="4">
        <v>22179</v>
      </c>
      <c r="T141" s="4">
        <v>25506</v>
      </c>
      <c r="U141" s="4">
        <v>29332</v>
      </c>
      <c r="V141" s="4">
        <v>33732</v>
      </c>
      <c r="W141">
        <v>420</v>
      </c>
      <c r="X141">
        <v>420</v>
      </c>
      <c r="Y141">
        <v>420</v>
      </c>
      <c r="Z141">
        <v>430</v>
      </c>
      <c r="AA141">
        <v>450</v>
      </c>
      <c r="AB141">
        <v>5970</v>
      </c>
      <c r="AC141">
        <v>59261</v>
      </c>
      <c r="AD141">
        <v>12840</v>
      </c>
      <c r="AF141" s="4">
        <v>40</v>
      </c>
      <c r="AG141" s="4">
        <v>64514</v>
      </c>
      <c r="AH141" s="4">
        <v>6.72749994932561</v>
      </c>
    </row>
    <row r="142" spans="1:34">
      <c r="A142" s="4">
        <v>21</v>
      </c>
      <c r="C142" s="4">
        <v>404</v>
      </c>
      <c r="D142" s="4">
        <v>1327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>
        <v>948</v>
      </c>
      <c r="X142">
        <v>948</v>
      </c>
      <c r="Y142">
        <v>970</v>
      </c>
      <c r="Z142">
        <v>992</v>
      </c>
      <c r="AA142">
        <v>1014</v>
      </c>
      <c r="AB142">
        <v>0</v>
      </c>
      <c r="AC142">
        <v>0</v>
      </c>
      <c r="AD142">
        <v>0</v>
      </c>
      <c r="AF142" s="4">
        <v>41</v>
      </c>
      <c r="AG142" s="4">
        <v>70965</v>
      </c>
      <c r="AH142" s="4">
        <v>7.40024994425817</v>
      </c>
    </row>
    <row r="143" spans="1:34">
      <c r="A143" s="4">
        <v>22</v>
      </c>
      <c r="C143" s="4">
        <v>404</v>
      </c>
      <c r="D143" s="4">
        <v>1327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>
        <v>992</v>
      </c>
      <c r="X143">
        <v>992</v>
      </c>
      <c r="Y143">
        <v>1014</v>
      </c>
      <c r="Z143">
        <v>1036</v>
      </c>
      <c r="AA143">
        <v>1080</v>
      </c>
      <c r="AB143">
        <v>0</v>
      </c>
      <c r="AC143">
        <v>0</v>
      </c>
      <c r="AF143" s="4">
        <v>42</v>
      </c>
      <c r="AG143" s="4">
        <v>78062</v>
      </c>
      <c r="AH143" s="4">
        <v>8.14027493868399</v>
      </c>
    </row>
    <row r="144" spans="1:34">
      <c r="A144" s="4">
        <v>23</v>
      </c>
      <c r="C144" s="4">
        <v>404</v>
      </c>
      <c r="D144" s="4">
        <v>1327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>
        <v>1134</v>
      </c>
      <c r="X144">
        <v>1134</v>
      </c>
      <c r="Y144">
        <v>1158</v>
      </c>
      <c r="Z144">
        <v>1181</v>
      </c>
      <c r="AA144">
        <v>1205</v>
      </c>
      <c r="AB144">
        <v>0</v>
      </c>
      <c r="AC144">
        <v>0</v>
      </c>
      <c r="AF144" s="4">
        <v>43</v>
      </c>
      <c r="AG144" s="4">
        <v>85868</v>
      </c>
      <c r="AH144" s="4">
        <v>8.95430243255239</v>
      </c>
    </row>
    <row r="145" spans="1:34">
      <c r="A145" s="4">
        <v>24</v>
      </c>
      <c r="C145" s="4">
        <v>404</v>
      </c>
      <c r="D145" s="4">
        <v>1327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>
        <v>1181</v>
      </c>
      <c r="X145">
        <v>1181</v>
      </c>
      <c r="Y145">
        <v>1205</v>
      </c>
      <c r="Z145">
        <v>1229</v>
      </c>
      <c r="AA145">
        <v>1276</v>
      </c>
      <c r="AB145">
        <v>0</v>
      </c>
      <c r="AC145">
        <v>0</v>
      </c>
      <c r="AF145" s="4">
        <v>44</v>
      </c>
      <c r="AG145" s="4">
        <v>94455</v>
      </c>
      <c r="AH145" s="4">
        <v>9.84973267580763</v>
      </c>
    </row>
    <row r="146" spans="1:34">
      <c r="A146" s="4">
        <v>25</v>
      </c>
      <c r="C146" s="4">
        <v>404</v>
      </c>
      <c r="D146" s="4">
        <v>1327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>
        <v>710</v>
      </c>
      <c r="X146">
        <v>710</v>
      </c>
      <c r="Y146">
        <v>737</v>
      </c>
      <c r="Z146">
        <v>751</v>
      </c>
      <c r="AA146">
        <v>764</v>
      </c>
      <c r="AB146">
        <v>0</v>
      </c>
      <c r="AC146">
        <v>0</v>
      </c>
      <c r="AF146" s="4">
        <v>45</v>
      </c>
      <c r="AG146" s="4">
        <v>103901</v>
      </c>
      <c r="AH146" s="4">
        <v>10.8347059433884</v>
      </c>
    </row>
    <row r="147" spans="1:34">
      <c r="A147" s="4">
        <v>26</v>
      </c>
      <c r="C147" s="4">
        <v>404</v>
      </c>
      <c r="D147" s="4">
        <v>1327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>
        <v>1474</v>
      </c>
      <c r="X147">
        <v>1474</v>
      </c>
      <c r="Y147">
        <v>1529</v>
      </c>
      <c r="Z147">
        <v>1556</v>
      </c>
      <c r="AA147">
        <v>1611</v>
      </c>
      <c r="AB147">
        <v>0</v>
      </c>
      <c r="AC147">
        <v>0</v>
      </c>
      <c r="AF147" s="4">
        <v>46</v>
      </c>
      <c r="AG147" s="4">
        <v>114291</v>
      </c>
      <c r="AH147" s="4">
        <v>11.9181765377272</v>
      </c>
    </row>
    <row r="148" spans="1:34">
      <c r="A148" s="4">
        <v>27</v>
      </c>
      <c r="C148" s="4">
        <v>404</v>
      </c>
      <c r="D148" s="4">
        <v>1327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>
        <v>1653</v>
      </c>
      <c r="X148">
        <v>1653</v>
      </c>
      <c r="Y148">
        <v>1711</v>
      </c>
      <c r="Z148">
        <v>1740</v>
      </c>
      <c r="AA148">
        <v>1769</v>
      </c>
      <c r="AB148">
        <v>0</v>
      </c>
      <c r="AC148">
        <v>0</v>
      </c>
      <c r="AF148" s="4">
        <v>47</v>
      </c>
      <c r="AG148" s="4">
        <v>125720</v>
      </c>
      <c r="AH148" s="4">
        <v>13.1099941915</v>
      </c>
    </row>
    <row r="149" spans="1:34">
      <c r="A149" s="4">
        <v>28</v>
      </c>
      <c r="C149" s="4">
        <v>404</v>
      </c>
      <c r="D149" s="4">
        <v>1327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>
        <v>1711</v>
      </c>
      <c r="X149">
        <v>1711</v>
      </c>
      <c r="Y149">
        <v>1769</v>
      </c>
      <c r="Z149">
        <v>1798</v>
      </c>
      <c r="AA149">
        <v>1856</v>
      </c>
      <c r="AB149">
        <v>0</v>
      </c>
      <c r="AC149">
        <v>0</v>
      </c>
      <c r="AF149" s="4">
        <v>48</v>
      </c>
      <c r="AG149" s="4">
        <v>138292</v>
      </c>
      <c r="AH149" s="4">
        <v>14.42099361065</v>
      </c>
    </row>
    <row r="150" spans="1:34">
      <c r="A150" s="4">
        <v>29</v>
      </c>
      <c r="C150" s="4">
        <v>404</v>
      </c>
      <c r="D150" s="4">
        <v>1327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>
        <v>1873</v>
      </c>
      <c r="X150">
        <v>1873</v>
      </c>
      <c r="Y150">
        <v>1966</v>
      </c>
      <c r="Z150">
        <v>1996</v>
      </c>
      <c r="AA150">
        <v>2027</v>
      </c>
      <c r="AB150">
        <v>0</v>
      </c>
      <c r="AC150">
        <v>0</v>
      </c>
      <c r="AF150" s="4">
        <v>49</v>
      </c>
      <c r="AG150" s="4">
        <v>152121</v>
      </c>
      <c r="AH150" s="4">
        <v>15.863092971715</v>
      </c>
    </row>
    <row r="151" spans="1:34">
      <c r="A151" s="4">
        <v>30</v>
      </c>
      <c r="C151" s="4">
        <v>404</v>
      </c>
      <c r="D151" s="4">
        <v>1327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>
        <v>1158</v>
      </c>
      <c r="X151">
        <v>1158</v>
      </c>
      <c r="Y151">
        <v>1213</v>
      </c>
      <c r="Z151">
        <v>1231</v>
      </c>
      <c r="AA151">
        <v>1268</v>
      </c>
      <c r="AB151">
        <v>0</v>
      </c>
      <c r="AC151">
        <v>0</v>
      </c>
      <c r="AF151" s="4">
        <v>50</v>
      </c>
      <c r="AG151" s="4">
        <v>167333</v>
      </c>
      <c r="AH151" s="4">
        <v>17.4494022688864</v>
      </c>
    </row>
    <row r="153" spans="1:1">
      <c r="A153" s="4" t="s">
        <v>561</v>
      </c>
    </row>
    <row r="154" spans="1:29">
      <c r="A154" s="4" t="s">
        <v>528</v>
      </c>
      <c r="B154" s="4" t="s">
        <v>529</v>
      </c>
      <c r="C154" s="4" t="s">
        <v>530</v>
      </c>
      <c r="D154" s="4" t="s">
        <v>531</v>
      </c>
      <c r="E154" s="4" t="s">
        <v>532</v>
      </c>
      <c r="F154" s="4" t="s">
        <v>533</v>
      </c>
      <c r="G154" s="4" t="s">
        <v>534</v>
      </c>
      <c r="H154" s="4" t="s">
        <v>535</v>
      </c>
      <c r="I154" s="4" t="s">
        <v>536</v>
      </c>
      <c r="J154" s="4" t="s">
        <v>537</v>
      </c>
      <c r="K154" s="4" t="s">
        <v>538</v>
      </c>
      <c r="L154" s="4" t="s">
        <v>539</v>
      </c>
      <c r="M154" s="4" t="s">
        <v>540</v>
      </c>
      <c r="N154" s="4" t="s">
        <v>541</v>
      </c>
      <c r="O154" s="4" t="s">
        <v>542</v>
      </c>
      <c r="P154" s="4" t="s">
        <v>543</v>
      </c>
      <c r="Q154" s="4" t="s">
        <v>544</v>
      </c>
      <c r="R154" s="4" t="s">
        <v>545</v>
      </c>
      <c r="S154" s="4" t="s">
        <v>546</v>
      </c>
      <c r="T154" s="4" t="s">
        <v>547</v>
      </c>
      <c r="U154" s="4" t="s">
        <v>548</v>
      </c>
      <c r="V154" s="4" t="s">
        <v>549</v>
      </c>
      <c r="W154" t="s">
        <v>550</v>
      </c>
      <c r="X154" t="s">
        <v>551</v>
      </c>
      <c r="Y154" t="s">
        <v>552</v>
      </c>
      <c r="Z154" t="s">
        <v>553</v>
      </c>
      <c r="AA154" t="s">
        <v>554</v>
      </c>
      <c r="AB154" t="s">
        <v>555</v>
      </c>
      <c r="AC154" t="s">
        <v>556</v>
      </c>
    </row>
    <row r="155" spans="1:34">
      <c r="A155" s="4">
        <v>1</v>
      </c>
      <c r="C155" s="4">
        <v>18</v>
      </c>
      <c r="D155" s="4">
        <v>5</v>
      </c>
      <c r="E155" s="4">
        <v>11</v>
      </c>
      <c r="F155" s="4">
        <v>11</v>
      </c>
      <c r="G155" s="4">
        <v>11</v>
      </c>
      <c r="H155" s="4">
        <v>11</v>
      </c>
      <c r="I155" s="4">
        <v>11</v>
      </c>
      <c r="J155" s="4">
        <v>11</v>
      </c>
      <c r="K155" s="4">
        <v>11</v>
      </c>
      <c r="L155" s="4">
        <v>11</v>
      </c>
      <c r="M155" s="4">
        <v>11</v>
      </c>
      <c r="N155" s="4">
        <v>11</v>
      </c>
      <c r="O155" s="4">
        <v>11</v>
      </c>
      <c r="P155" s="4">
        <v>11</v>
      </c>
      <c r="Q155" s="4">
        <v>11</v>
      </c>
      <c r="R155" s="4">
        <v>11</v>
      </c>
      <c r="S155" s="4">
        <v>11</v>
      </c>
      <c r="T155" s="4">
        <v>11</v>
      </c>
      <c r="U155" s="4">
        <v>11</v>
      </c>
      <c r="V155" s="4">
        <v>11</v>
      </c>
      <c r="W155">
        <v>18</v>
      </c>
      <c r="X155">
        <v>18</v>
      </c>
      <c r="Y155">
        <v>18</v>
      </c>
      <c r="Z155">
        <v>18</v>
      </c>
      <c r="AA155">
        <v>18</v>
      </c>
      <c r="AB155">
        <v>15</v>
      </c>
      <c r="AC155">
        <v>20</v>
      </c>
      <c r="AD155">
        <v>26</v>
      </c>
      <c r="AF155" s="4">
        <v>21</v>
      </c>
      <c r="AG155" s="4">
        <v>14824.7</v>
      </c>
      <c r="AH155" s="4">
        <v>1.1</v>
      </c>
    </row>
    <row r="156" spans="1:34">
      <c r="A156" s="4">
        <v>2</v>
      </c>
      <c r="C156" s="4">
        <v>32</v>
      </c>
      <c r="D156" s="4">
        <v>9</v>
      </c>
      <c r="E156" s="4">
        <v>21</v>
      </c>
      <c r="F156" s="4">
        <v>21</v>
      </c>
      <c r="G156" s="4">
        <v>21</v>
      </c>
      <c r="H156" s="4">
        <v>21</v>
      </c>
      <c r="I156" s="4">
        <v>21</v>
      </c>
      <c r="J156" s="4">
        <v>21</v>
      </c>
      <c r="K156" s="4">
        <v>21</v>
      </c>
      <c r="L156" s="4">
        <v>21</v>
      </c>
      <c r="M156" s="4">
        <v>21</v>
      </c>
      <c r="N156" s="4">
        <v>21</v>
      </c>
      <c r="O156" s="4">
        <v>21</v>
      </c>
      <c r="P156" s="4">
        <v>21</v>
      </c>
      <c r="Q156" s="4">
        <v>21</v>
      </c>
      <c r="R156" s="4">
        <v>21</v>
      </c>
      <c r="S156" s="4">
        <v>21</v>
      </c>
      <c r="T156" s="4">
        <v>21</v>
      </c>
      <c r="U156" s="4">
        <v>21</v>
      </c>
      <c r="V156" s="4">
        <v>21</v>
      </c>
      <c r="W156">
        <v>37</v>
      </c>
      <c r="X156">
        <v>37</v>
      </c>
      <c r="Y156">
        <v>37</v>
      </c>
      <c r="Z156">
        <v>37</v>
      </c>
      <c r="AA156">
        <v>37</v>
      </c>
      <c r="AB156">
        <v>35</v>
      </c>
      <c r="AC156">
        <v>40</v>
      </c>
      <c r="AD156">
        <v>53</v>
      </c>
      <c r="AF156" s="4">
        <v>22</v>
      </c>
      <c r="AG156" s="4">
        <v>16307</v>
      </c>
      <c r="AH156" s="4">
        <v>1.21</v>
      </c>
    </row>
    <row r="157" spans="1:34">
      <c r="A157" s="4">
        <v>3</v>
      </c>
      <c r="C157" s="4">
        <v>66</v>
      </c>
      <c r="D157" s="4">
        <v>26</v>
      </c>
      <c r="E157" s="4">
        <v>53</v>
      </c>
      <c r="F157" s="4">
        <v>53</v>
      </c>
      <c r="G157" s="4">
        <v>53</v>
      </c>
      <c r="H157" s="4">
        <v>53</v>
      </c>
      <c r="I157" s="4">
        <v>53</v>
      </c>
      <c r="J157" s="4">
        <v>53</v>
      </c>
      <c r="K157" s="4">
        <v>53</v>
      </c>
      <c r="L157" s="4">
        <v>53</v>
      </c>
      <c r="M157" s="4">
        <v>53</v>
      </c>
      <c r="N157" s="4">
        <v>53</v>
      </c>
      <c r="O157" s="4">
        <v>53</v>
      </c>
      <c r="P157" s="4">
        <v>53</v>
      </c>
      <c r="Q157" s="4">
        <v>53</v>
      </c>
      <c r="R157" s="4">
        <v>53</v>
      </c>
      <c r="S157" s="4">
        <v>53</v>
      </c>
      <c r="T157" s="4">
        <v>53</v>
      </c>
      <c r="U157" s="4">
        <v>53</v>
      </c>
      <c r="V157" s="4">
        <v>53</v>
      </c>
      <c r="W157">
        <v>63</v>
      </c>
      <c r="X157">
        <v>63</v>
      </c>
      <c r="Y157">
        <v>63</v>
      </c>
      <c r="Z157">
        <v>63</v>
      </c>
      <c r="AA157">
        <v>63</v>
      </c>
      <c r="AB157">
        <v>71</v>
      </c>
      <c r="AC157">
        <v>98</v>
      </c>
      <c r="AD157">
        <v>131</v>
      </c>
      <c r="AF157" s="4">
        <v>23</v>
      </c>
      <c r="AG157" s="4">
        <v>17938</v>
      </c>
      <c r="AH157" s="4">
        <v>1.331</v>
      </c>
    </row>
    <row r="158" spans="1:34">
      <c r="A158" s="4">
        <v>4</v>
      </c>
      <c r="C158" s="4">
        <v>76</v>
      </c>
      <c r="D158" s="4">
        <v>61</v>
      </c>
      <c r="E158" s="4">
        <v>76</v>
      </c>
      <c r="F158" s="4">
        <v>76</v>
      </c>
      <c r="G158" s="4">
        <v>76</v>
      </c>
      <c r="H158" s="4">
        <v>76</v>
      </c>
      <c r="I158" s="4">
        <v>76</v>
      </c>
      <c r="J158" s="4">
        <v>76</v>
      </c>
      <c r="K158" s="4">
        <v>76</v>
      </c>
      <c r="L158" s="4">
        <v>76</v>
      </c>
      <c r="M158" s="4">
        <v>76</v>
      </c>
      <c r="N158" s="4">
        <v>76</v>
      </c>
      <c r="O158" s="4">
        <v>76</v>
      </c>
      <c r="P158" s="4">
        <v>76</v>
      </c>
      <c r="Q158" s="4">
        <v>76</v>
      </c>
      <c r="R158" s="4">
        <v>76</v>
      </c>
      <c r="S158" s="4">
        <v>76</v>
      </c>
      <c r="T158" s="4">
        <v>76</v>
      </c>
      <c r="U158" s="4">
        <v>76</v>
      </c>
      <c r="V158" s="4">
        <v>76</v>
      </c>
      <c r="W158">
        <v>74</v>
      </c>
      <c r="X158">
        <v>74</v>
      </c>
      <c r="Y158">
        <v>74</v>
      </c>
      <c r="Z158">
        <v>74</v>
      </c>
      <c r="AA158">
        <v>74</v>
      </c>
      <c r="AB158">
        <v>143</v>
      </c>
      <c r="AC158">
        <v>178</v>
      </c>
      <c r="AD158">
        <v>237</v>
      </c>
      <c r="AF158" s="4">
        <v>24</v>
      </c>
      <c r="AG158" s="4">
        <v>19732</v>
      </c>
      <c r="AH158" s="4">
        <v>1.4641</v>
      </c>
    </row>
    <row r="159" spans="1:34">
      <c r="A159" s="4">
        <v>5</v>
      </c>
      <c r="C159" s="4">
        <v>51</v>
      </c>
      <c r="D159" s="4">
        <v>53</v>
      </c>
      <c r="E159" s="4">
        <v>62</v>
      </c>
      <c r="F159" s="4">
        <v>62</v>
      </c>
      <c r="G159" s="4">
        <v>62</v>
      </c>
      <c r="H159" s="4">
        <v>62</v>
      </c>
      <c r="I159" s="4">
        <v>62</v>
      </c>
      <c r="J159" s="4">
        <v>62</v>
      </c>
      <c r="K159" s="4">
        <v>62</v>
      </c>
      <c r="L159" s="4">
        <v>62</v>
      </c>
      <c r="M159" s="4">
        <v>62</v>
      </c>
      <c r="N159" s="4">
        <v>74</v>
      </c>
      <c r="O159" s="4">
        <v>89</v>
      </c>
      <c r="P159" s="4">
        <v>107</v>
      </c>
      <c r="Q159" s="4">
        <v>128</v>
      </c>
      <c r="R159" s="4">
        <v>154</v>
      </c>
      <c r="S159" s="4">
        <v>185</v>
      </c>
      <c r="T159" s="4">
        <v>222</v>
      </c>
      <c r="U159" s="4">
        <v>266</v>
      </c>
      <c r="V159" s="4">
        <v>319</v>
      </c>
      <c r="W159">
        <v>53</v>
      </c>
      <c r="X159">
        <v>53</v>
      </c>
      <c r="Y159">
        <v>53</v>
      </c>
      <c r="Z159">
        <v>53</v>
      </c>
      <c r="AA159">
        <v>53</v>
      </c>
      <c r="AB159">
        <v>240</v>
      </c>
      <c r="AC159">
        <v>380</v>
      </c>
      <c r="AD159">
        <v>204</v>
      </c>
      <c r="AF159" s="4">
        <v>25</v>
      </c>
      <c r="AG159" s="4">
        <v>21705</v>
      </c>
      <c r="AH159" s="4">
        <v>1.61051</v>
      </c>
    </row>
    <row r="160" spans="1:34">
      <c r="A160" s="4">
        <v>6</v>
      </c>
      <c r="C160" s="4">
        <v>168</v>
      </c>
      <c r="D160" s="4">
        <v>181</v>
      </c>
      <c r="E160" s="4">
        <v>174</v>
      </c>
      <c r="F160" s="4">
        <v>174</v>
      </c>
      <c r="G160" s="4">
        <v>174</v>
      </c>
      <c r="H160" s="4">
        <v>174</v>
      </c>
      <c r="I160" s="4">
        <v>174</v>
      </c>
      <c r="J160" s="4">
        <v>174</v>
      </c>
      <c r="K160" s="4">
        <v>174</v>
      </c>
      <c r="L160" s="4">
        <v>174</v>
      </c>
      <c r="M160" s="4">
        <v>174</v>
      </c>
      <c r="N160" s="4">
        <v>209</v>
      </c>
      <c r="O160" s="4">
        <v>251</v>
      </c>
      <c r="P160" s="4">
        <v>301</v>
      </c>
      <c r="Q160" s="4">
        <v>361</v>
      </c>
      <c r="R160" s="4">
        <v>433</v>
      </c>
      <c r="S160" s="4">
        <v>520</v>
      </c>
      <c r="T160" s="4">
        <v>624</v>
      </c>
      <c r="U160" s="4">
        <v>749</v>
      </c>
      <c r="V160" s="4">
        <v>899</v>
      </c>
      <c r="W160">
        <v>130</v>
      </c>
      <c r="X160">
        <v>130</v>
      </c>
      <c r="Y160">
        <v>130</v>
      </c>
      <c r="Z160">
        <v>130</v>
      </c>
      <c r="AA160">
        <v>130</v>
      </c>
      <c r="AB160">
        <v>368</v>
      </c>
      <c r="AC160">
        <v>1286</v>
      </c>
      <c r="AD160">
        <v>689</v>
      </c>
      <c r="AF160" s="4">
        <v>26</v>
      </c>
      <c r="AG160" s="4">
        <v>23876</v>
      </c>
      <c r="AH160" s="4">
        <v>1.771561</v>
      </c>
    </row>
    <row r="161" spans="1:34">
      <c r="A161" s="4">
        <v>7</v>
      </c>
      <c r="C161" s="4">
        <v>331</v>
      </c>
      <c r="D161" s="4">
        <v>296</v>
      </c>
      <c r="E161" s="4">
        <v>302</v>
      </c>
      <c r="F161" s="4">
        <v>302</v>
      </c>
      <c r="G161" s="4">
        <v>302</v>
      </c>
      <c r="H161" s="4">
        <v>302</v>
      </c>
      <c r="I161" s="4">
        <v>302</v>
      </c>
      <c r="J161" s="4">
        <v>302</v>
      </c>
      <c r="K161" s="4">
        <v>302</v>
      </c>
      <c r="L161" s="4">
        <v>302</v>
      </c>
      <c r="M161" s="4">
        <v>302</v>
      </c>
      <c r="N161" s="4">
        <v>362</v>
      </c>
      <c r="O161" s="4">
        <v>434</v>
      </c>
      <c r="P161" s="4">
        <v>521</v>
      </c>
      <c r="Q161" s="4">
        <v>625</v>
      </c>
      <c r="R161" s="4">
        <v>750</v>
      </c>
      <c r="S161" s="4">
        <v>900</v>
      </c>
      <c r="T161" s="4">
        <v>1080</v>
      </c>
      <c r="U161" s="4">
        <v>1296</v>
      </c>
      <c r="V161" s="4">
        <v>1555</v>
      </c>
      <c r="W161">
        <v>154</v>
      </c>
      <c r="X161">
        <v>154</v>
      </c>
      <c r="Y161">
        <v>154</v>
      </c>
      <c r="Z161">
        <v>154</v>
      </c>
      <c r="AA161">
        <v>154</v>
      </c>
      <c r="AB161">
        <v>547</v>
      </c>
      <c r="AC161">
        <v>1907</v>
      </c>
      <c r="AD161">
        <v>1024</v>
      </c>
      <c r="AF161" s="4">
        <v>27</v>
      </c>
      <c r="AG161" s="4">
        <v>26264</v>
      </c>
      <c r="AH161" s="4">
        <v>1.9487171</v>
      </c>
    </row>
    <row r="162" spans="1:34">
      <c r="A162" s="4">
        <v>8</v>
      </c>
      <c r="C162" s="4">
        <v>417</v>
      </c>
      <c r="D162" s="4">
        <v>476</v>
      </c>
      <c r="E162" s="4">
        <v>428</v>
      </c>
      <c r="F162" s="4">
        <v>428</v>
      </c>
      <c r="G162" s="4">
        <v>428</v>
      </c>
      <c r="H162" s="4">
        <v>428</v>
      </c>
      <c r="I162" s="4">
        <v>428</v>
      </c>
      <c r="J162" s="4">
        <v>428</v>
      </c>
      <c r="K162" s="4">
        <v>428</v>
      </c>
      <c r="L162" s="4">
        <v>514</v>
      </c>
      <c r="M162" s="4">
        <v>617</v>
      </c>
      <c r="N162" s="4">
        <v>740</v>
      </c>
      <c r="O162" s="4">
        <v>888</v>
      </c>
      <c r="P162" s="4">
        <v>1066</v>
      </c>
      <c r="Q162" s="4">
        <v>1279</v>
      </c>
      <c r="R162" s="4">
        <v>1535</v>
      </c>
      <c r="S162" s="4">
        <v>1842</v>
      </c>
      <c r="T162" s="4">
        <v>2210</v>
      </c>
      <c r="U162" s="4">
        <v>2652</v>
      </c>
      <c r="V162" s="4">
        <v>3182</v>
      </c>
      <c r="W162">
        <v>165</v>
      </c>
      <c r="X162">
        <v>165</v>
      </c>
      <c r="Y162">
        <v>165</v>
      </c>
      <c r="Z162">
        <v>165</v>
      </c>
      <c r="AA162">
        <v>165</v>
      </c>
      <c r="AB162">
        <v>741</v>
      </c>
      <c r="AC162">
        <v>3736</v>
      </c>
      <c r="AD162">
        <v>1389</v>
      </c>
      <c r="AF162" s="4">
        <v>28</v>
      </c>
      <c r="AG162" s="4">
        <v>28890</v>
      </c>
      <c r="AH162" s="4">
        <v>2.14358881</v>
      </c>
    </row>
    <row r="163" spans="1:34">
      <c r="A163" s="4">
        <v>9</v>
      </c>
      <c r="C163" s="4">
        <v>495</v>
      </c>
      <c r="D163" s="4">
        <v>633</v>
      </c>
      <c r="E163" s="4">
        <v>499</v>
      </c>
      <c r="F163" s="4">
        <v>499</v>
      </c>
      <c r="G163" s="4">
        <v>499</v>
      </c>
      <c r="H163" s="4">
        <v>499</v>
      </c>
      <c r="I163" s="4">
        <v>499</v>
      </c>
      <c r="J163" s="4">
        <v>599</v>
      </c>
      <c r="K163" s="4">
        <v>719</v>
      </c>
      <c r="L163" s="4">
        <v>863</v>
      </c>
      <c r="M163" s="4">
        <v>1036</v>
      </c>
      <c r="N163" s="4">
        <v>1243</v>
      </c>
      <c r="O163" s="4">
        <v>1492</v>
      </c>
      <c r="P163" s="4">
        <v>1790</v>
      </c>
      <c r="Q163" s="4">
        <v>2148</v>
      </c>
      <c r="R163" s="4">
        <v>2578</v>
      </c>
      <c r="S163" s="4">
        <v>3094</v>
      </c>
      <c r="T163" s="4">
        <v>3713</v>
      </c>
      <c r="U163" s="4">
        <v>4456</v>
      </c>
      <c r="V163" s="4">
        <v>5347</v>
      </c>
      <c r="W163">
        <v>189</v>
      </c>
      <c r="X163">
        <v>189</v>
      </c>
      <c r="Y163">
        <v>189</v>
      </c>
      <c r="Z163">
        <v>189</v>
      </c>
      <c r="AA163">
        <v>189</v>
      </c>
      <c r="AB163">
        <v>849</v>
      </c>
      <c r="AC163">
        <v>6533</v>
      </c>
      <c r="AD163">
        <v>1686</v>
      </c>
      <c r="AF163" s="4">
        <v>29</v>
      </c>
      <c r="AG163" s="4">
        <v>31779</v>
      </c>
      <c r="AH163" s="4">
        <v>2.357947691</v>
      </c>
    </row>
    <row r="164" spans="1:34">
      <c r="A164" s="4">
        <v>10</v>
      </c>
      <c r="C164" s="4">
        <v>404</v>
      </c>
      <c r="D164" s="4">
        <v>431</v>
      </c>
      <c r="E164" s="4">
        <v>308</v>
      </c>
      <c r="F164" s="4">
        <v>370</v>
      </c>
      <c r="G164" s="4">
        <v>444</v>
      </c>
      <c r="H164" s="4">
        <v>533</v>
      </c>
      <c r="I164" s="4">
        <v>640</v>
      </c>
      <c r="J164" s="4">
        <v>768</v>
      </c>
      <c r="K164" s="4">
        <v>922</v>
      </c>
      <c r="L164" s="4">
        <v>1106</v>
      </c>
      <c r="M164" s="4">
        <v>1327</v>
      </c>
      <c r="N164" s="4">
        <v>1592</v>
      </c>
      <c r="O164" s="4">
        <v>1910</v>
      </c>
      <c r="P164" s="4">
        <v>2292</v>
      </c>
      <c r="Q164" s="4">
        <v>2750</v>
      </c>
      <c r="R164" s="4">
        <v>3300</v>
      </c>
      <c r="S164" s="4">
        <v>3960</v>
      </c>
      <c r="T164" s="4">
        <v>4752</v>
      </c>
      <c r="U164" s="4">
        <v>5702</v>
      </c>
      <c r="V164" s="4">
        <v>6842</v>
      </c>
      <c r="W164">
        <v>118</v>
      </c>
      <c r="X164">
        <v>118</v>
      </c>
      <c r="Y164">
        <v>118</v>
      </c>
      <c r="Z164">
        <v>118</v>
      </c>
      <c r="AA164">
        <v>125</v>
      </c>
      <c r="AB164">
        <v>1160</v>
      </c>
      <c r="AC164">
        <v>9201</v>
      </c>
      <c r="AD164">
        <v>1145</v>
      </c>
      <c r="AF164" s="4">
        <v>30</v>
      </c>
      <c r="AG164" s="4">
        <v>34957</v>
      </c>
      <c r="AH164" s="4">
        <v>2.5937424601</v>
      </c>
    </row>
    <row r="165" spans="1:34">
      <c r="A165" s="4">
        <v>11</v>
      </c>
      <c r="C165" s="4">
        <v>404</v>
      </c>
      <c r="D165" s="4">
        <v>683</v>
      </c>
      <c r="E165" s="4">
        <v>621</v>
      </c>
      <c r="F165" s="4">
        <v>745</v>
      </c>
      <c r="G165" s="4">
        <v>894</v>
      </c>
      <c r="H165" s="4">
        <v>1073</v>
      </c>
      <c r="I165" s="4">
        <v>1288</v>
      </c>
      <c r="J165" s="4">
        <v>1546</v>
      </c>
      <c r="K165" s="4">
        <v>1855</v>
      </c>
      <c r="L165" s="4">
        <v>2226</v>
      </c>
      <c r="M165" s="4">
        <v>2671</v>
      </c>
      <c r="N165" s="4">
        <v>3205</v>
      </c>
      <c r="O165" s="4">
        <v>3846</v>
      </c>
      <c r="P165" s="4">
        <v>4615</v>
      </c>
      <c r="Q165" s="4">
        <v>5538</v>
      </c>
      <c r="R165" s="4">
        <v>6646</v>
      </c>
      <c r="S165" s="4">
        <v>7975</v>
      </c>
      <c r="T165" s="4">
        <v>9570</v>
      </c>
      <c r="U165" s="4">
        <v>11484</v>
      </c>
      <c r="V165" s="4">
        <v>13781</v>
      </c>
      <c r="W165">
        <v>184</v>
      </c>
      <c r="X165">
        <v>184</v>
      </c>
      <c r="Y165">
        <v>184</v>
      </c>
      <c r="Z165">
        <v>184</v>
      </c>
      <c r="AA165">
        <v>184</v>
      </c>
      <c r="AB165">
        <v>1268</v>
      </c>
      <c r="AC165">
        <v>17771</v>
      </c>
      <c r="AD165">
        <v>2214</v>
      </c>
      <c r="AF165" s="4">
        <v>31</v>
      </c>
      <c r="AG165" s="4">
        <v>38453</v>
      </c>
      <c r="AH165" s="4">
        <v>2.85311670611</v>
      </c>
    </row>
    <row r="166" spans="1:34">
      <c r="A166" s="4">
        <v>12</v>
      </c>
      <c r="C166" s="4">
        <v>404</v>
      </c>
      <c r="D166" s="4">
        <v>815</v>
      </c>
      <c r="E166" s="4">
        <v>728</v>
      </c>
      <c r="F166" s="4">
        <v>874</v>
      </c>
      <c r="G166" s="4">
        <v>1049</v>
      </c>
      <c r="H166" s="4">
        <v>1259</v>
      </c>
      <c r="I166" s="4">
        <v>1511</v>
      </c>
      <c r="J166" s="4">
        <v>1813</v>
      </c>
      <c r="K166" s="4">
        <v>2176</v>
      </c>
      <c r="L166" s="4">
        <v>2611</v>
      </c>
      <c r="M166" s="4">
        <v>3133</v>
      </c>
      <c r="N166" s="4">
        <v>3760</v>
      </c>
      <c r="O166" s="4">
        <v>4512</v>
      </c>
      <c r="P166" s="4">
        <v>5414</v>
      </c>
      <c r="Q166" s="4">
        <v>6497</v>
      </c>
      <c r="R166" s="4">
        <v>7796</v>
      </c>
      <c r="S166" s="4">
        <v>9355</v>
      </c>
      <c r="T166" s="4">
        <v>11226</v>
      </c>
      <c r="U166" s="4">
        <v>13471</v>
      </c>
      <c r="V166" s="4">
        <v>16165</v>
      </c>
      <c r="W166">
        <v>221</v>
      </c>
      <c r="X166">
        <v>221</v>
      </c>
      <c r="Y166">
        <v>221</v>
      </c>
      <c r="Z166">
        <v>221</v>
      </c>
      <c r="AA166">
        <v>231</v>
      </c>
      <c r="AB166">
        <v>1260</v>
      </c>
      <c r="AC166">
        <v>20240</v>
      </c>
      <c r="AD166">
        <v>2520</v>
      </c>
      <c r="AF166" s="4">
        <v>32</v>
      </c>
      <c r="AG166" s="4">
        <v>42298</v>
      </c>
      <c r="AH166" s="4">
        <v>3.138428376721</v>
      </c>
    </row>
    <row r="167" spans="1:34">
      <c r="A167" s="4">
        <v>13</v>
      </c>
      <c r="C167" s="4">
        <v>404</v>
      </c>
      <c r="D167" s="4">
        <v>995</v>
      </c>
      <c r="E167" s="4">
        <v>843</v>
      </c>
      <c r="F167" s="4">
        <v>1012</v>
      </c>
      <c r="G167" s="4">
        <v>1214</v>
      </c>
      <c r="H167" s="4">
        <v>1457</v>
      </c>
      <c r="I167" s="4">
        <v>1748</v>
      </c>
      <c r="J167" s="4">
        <v>2098</v>
      </c>
      <c r="K167" s="4">
        <v>2518</v>
      </c>
      <c r="L167" s="4">
        <v>3022</v>
      </c>
      <c r="M167" s="4">
        <v>3626</v>
      </c>
      <c r="N167" s="4">
        <v>4351</v>
      </c>
      <c r="O167" s="4">
        <v>5221</v>
      </c>
      <c r="P167" s="4">
        <v>6265</v>
      </c>
      <c r="Q167" s="4">
        <v>7518</v>
      </c>
      <c r="R167" s="4">
        <v>9022</v>
      </c>
      <c r="S167" s="4">
        <v>10826</v>
      </c>
      <c r="T167" s="4">
        <v>12991</v>
      </c>
      <c r="U167" s="4">
        <v>15589</v>
      </c>
      <c r="V167" s="4">
        <v>18707</v>
      </c>
      <c r="W167">
        <v>241</v>
      </c>
      <c r="X167">
        <v>241</v>
      </c>
      <c r="Y167">
        <v>241</v>
      </c>
      <c r="Z167">
        <v>250</v>
      </c>
      <c r="AA167">
        <v>250</v>
      </c>
      <c r="AB167">
        <v>1515</v>
      </c>
      <c r="AC167">
        <v>23944</v>
      </c>
      <c r="AD167">
        <v>2983</v>
      </c>
      <c r="AF167" s="4">
        <v>33</v>
      </c>
      <c r="AG167" s="4">
        <v>46528</v>
      </c>
      <c r="AH167" s="4">
        <v>3.4522712143931</v>
      </c>
    </row>
    <row r="168" spans="1:34">
      <c r="A168" s="4">
        <v>14</v>
      </c>
      <c r="C168" s="4">
        <v>404</v>
      </c>
      <c r="D168" s="4">
        <v>1260</v>
      </c>
      <c r="E168" s="4">
        <v>1043</v>
      </c>
      <c r="F168" s="4">
        <v>1252</v>
      </c>
      <c r="G168" s="4">
        <v>1502</v>
      </c>
      <c r="H168" s="4">
        <v>1802</v>
      </c>
      <c r="I168" s="4">
        <v>2162</v>
      </c>
      <c r="J168" s="4">
        <v>2594</v>
      </c>
      <c r="K168" s="4">
        <v>3113</v>
      </c>
      <c r="L168" s="4">
        <v>3736</v>
      </c>
      <c r="M168" s="4">
        <v>4483</v>
      </c>
      <c r="N168" s="4">
        <v>5380</v>
      </c>
      <c r="O168" s="4">
        <v>6456</v>
      </c>
      <c r="P168" s="4">
        <v>7747</v>
      </c>
      <c r="Q168" s="4">
        <v>9296</v>
      </c>
      <c r="R168" s="4">
        <v>11155</v>
      </c>
      <c r="S168" s="4">
        <v>13386</v>
      </c>
      <c r="T168" s="4">
        <v>16063</v>
      </c>
      <c r="U168" s="4">
        <v>19276</v>
      </c>
      <c r="V168" s="4">
        <v>23131</v>
      </c>
      <c r="W168">
        <v>260</v>
      </c>
      <c r="X168">
        <v>260</v>
      </c>
      <c r="Y168">
        <v>260</v>
      </c>
      <c r="Z168">
        <v>270</v>
      </c>
      <c r="AA168">
        <v>279</v>
      </c>
      <c r="AB168">
        <v>1932</v>
      </c>
      <c r="AC168">
        <v>30136</v>
      </c>
      <c r="AD168">
        <v>3757</v>
      </c>
      <c r="AF168" s="4">
        <v>34</v>
      </c>
      <c r="AG168" s="4">
        <v>51181</v>
      </c>
      <c r="AH168" s="4">
        <v>3.79749833583241</v>
      </c>
    </row>
    <row r="169" spans="1:34">
      <c r="A169" s="4">
        <v>15</v>
      </c>
      <c r="C169" s="4">
        <v>404</v>
      </c>
      <c r="D169" s="4">
        <v>1327</v>
      </c>
      <c r="E169" s="4">
        <v>976</v>
      </c>
      <c r="F169" s="4">
        <v>1171</v>
      </c>
      <c r="G169" s="4">
        <v>1405</v>
      </c>
      <c r="H169" s="4">
        <v>1686</v>
      </c>
      <c r="I169" s="4">
        <v>2023</v>
      </c>
      <c r="J169" s="4">
        <v>2428</v>
      </c>
      <c r="K169" s="4">
        <v>2914</v>
      </c>
      <c r="L169" s="4">
        <v>3497</v>
      </c>
      <c r="M169" s="4">
        <v>4196</v>
      </c>
      <c r="N169" s="4">
        <v>5035</v>
      </c>
      <c r="O169" s="4">
        <v>6042</v>
      </c>
      <c r="P169" s="4">
        <v>7250</v>
      </c>
      <c r="Q169" s="4">
        <v>8700</v>
      </c>
      <c r="R169" s="4">
        <v>10440</v>
      </c>
      <c r="S169" s="4">
        <v>12528</v>
      </c>
      <c r="T169" s="4">
        <v>15034</v>
      </c>
      <c r="U169" s="4">
        <v>18041</v>
      </c>
      <c r="V169" s="4">
        <v>21649</v>
      </c>
      <c r="W169">
        <v>260</v>
      </c>
      <c r="X169">
        <v>260</v>
      </c>
      <c r="Y169">
        <v>260</v>
      </c>
      <c r="Z169">
        <v>260</v>
      </c>
      <c r="AA169">
        <v>269</v>
      </c>
      <c r="AB169">
        <v>2022</v>
      </c>
      <c r="AC169">
        <v>33783</v>
      </c>
      <c r="AD169">
        <v>4211</v>
      </c>
      <c r="AF169" s="4">
        <v>35</v>
      </c>
      <c r="AG169" s="4">
        <v>56299</v>
      </c>
      <c r="AH169" s="4">
        <v>4.17724816941566</v>
      </c>
    </row>
    <row r="170" spans="1:34">
      <c r="A170" s="4">
        <v>16</v>
      </c>
      <c r="C170" s="4">
        <v>404</v>
      </c>
      <c r="D170" s="4">
        <v>1327</v>
      </c>
      <c r="E170" s="4">
        <v>1585</v>
      </c>
      <c r="F170" s="4">
        <v>1902</v>
      </c>
      <c r="G170" s="4">
        <v>2282</v>
      </c>
      <c r="H170" s="4">
        <v>2738</v>
      </c>
      <c r="I170" s="4">
        <v>3286</v>
      </c>
      <c r="J170" s="4">
        <v>3943</v>
      </c>
      <c r="K170" s="4">
        <v>4732</v>
      </c>
      <c r="L170" s="4">
        <v>5678</v>
      </c>
      <c r="M170" s="4">
        <v>6814</v>
      </c>
      <c r="N170" s="4">
        <v>8177</v>
      </c>
      <c r="O170" s="4">
        <v>9812</v>
      </c>
      <c r="P170" s="4">
        <v>11774</v>
      </c>
      <c r="Q170" s="4">
        <v>14129</v>
      </c>
      <c r="R170" s="4">
        <v>16955</v>
      </c>
      <c r="S170" s="4">
        <v>20346</v>
      </c>
      <c r="T170" s="4">
        <v>24415</v>
      </c>
      <c r="U170" s="4">
        <v>29298</v>
      </c>
      <c r="V170" s="4">
        <v>35158</v>
      </c>
      <c r="W170">
        <v>370</v>
      </c>
      <c r="X170">
        <v>370</v>
      </c>
      <c r="Y170">
        <v>370</v>
      </c>
      <c r="Z170">
        <v>381</v>
      </c>
      <c r="AA170">
        <v>393</v>
      </c>
      <c r="AB170">
        <v>2888</v>
      </c>
      <c r="AC170">
        <v>49421</v>
      </c>
      <c r="AD170">
        <v>6160</v>
      </c>
      <c r="AF170" s="4">
        <v>36</v>
      </c>
      <c r="AG170" s="4">
        <v>61929</v>
      </c>
      <c r="AH170" s="4">
        <v>4.59497298635722</v>
      </c>
    </row>
    <row r="171" spans="1:34">
      <c r="A171" s="4">
        <v>17</v>
      </c>
      <c r="C171" s="4">
        <v>404</v>
      </c>
      <c r="D171" s="4">
        <v>1327</v>
      </c>
      <c r="E171" s="4">
        <v>2163</v>
      </c>
      <c r="F171" s="4">
        <v>2596</v>
      </c>
      <c r="G171" s="4">
        <v>3115</v>
      </c>
      <c r="H171" s="4">
        <v>3738</v>
      </c>
      <c r="I171" s="4">
        <v>4486</v>
      </c>
      <c r="J171" s="4">
        <v>5383</v>
      </c>
      <c r="K171" s="4">
        <v>6460</v>
      </c>
      <c r="L171" s="4">
        <v>7752</v>
      </c>
      <c r="M171" s="4">
        <v>9302</v>
      </c>
      <c r="N171" s="4">
        <v>11162</v>
      </c>
      <c r="O171" s="4">
        <v>13394</v>
      </c>
      <c r="P171" s="4">
        <v>16073</v>
      </c>
      <c r="Q171" s="4">
        <v>19288</v>
      </c>
      <c r="R171" s="4">
        <v>23146</v>
      </c>
      <c r="S171" s="4">
        <v>27775</v>
      </c>
      <c r="T171" s="4">
        <v>33330</v>
      </c>
      <c r="U171" s="4">
        <v>39996</v>
      </c>
      <c r="V171" s="4">
        <v>47995</v>
      </c>
      <c r="W171">
        <v>393</v>
      </c>
      <c r="X171">
        <v>393</v>
      </c>
      <c r="Y171">
        <v>393</v>
      </c>
      <c r="Z171">
        <v>404</v>
      </c>
      <c r="AA171">
        <v>416</v>
      </c>
      <c r="AB171">
        <v>4061</v>
      </c>
      <c r="AC171">
        <v>68395</v>
      </c>
      <c r="AD171">
        <v>8522</v>
      </c>
      <c r="AF171" s="4">
        <v>37</v>
      </c>
      <c r="AG171" s="4">
        <v>68122</v>
      </c>
      <c r="AH171" s="4">
        <v>5.05447028499295</v>
      </c>
    </row>
    <row r="172" spans="1:34">
      <c r="A172" s="4">
        <v>18</v>
      </c>
      <c r="C172" s="4">
        <v>404</v>
      </c>
      <c r="D172" s="4">
        <v>1327</v>
      </c>
      <c r="E172" s="4">
        <v>2510</v>
      </c>
      <c r="F172" s="4">
        <v>3012</v>
      </c>
      <c r="G172" s="4">
        <v>3614</v>
      </c>
      <c r="H172" s="4">
        <v>4337</v>
      </c>
      <c r="I172" s="4">
        <v>5204</v>
      </c>
      <c r="J172" s="4">
        <v>6245</v>
      </c>
      <c r="K172" s="4">
        <v>7494</v>
      </c>
      <c r="L172" s="4">
        <v>8993</v>
      </c>
      <c r="M172" s="4">
        <v>10792</v>
      </c>
      <c r="N172" s="4">
        <v>12950</v>
      </c>
      <c r="O172" s="4">
        <v>15540</v>
      </c>
      <c r="P172" s="4">
        <v>18648</v>
      </c>
      <c r="Q172" s="4">
        <v>22378</v>
      </c>
      <c r="R172" s="4">
        <v>26854</v>
      </c>
      <c r="S172" s="4">
        <v>32225</v>
      </c>
      <c r="T172" s="4">
        <v>38670</v>
      </c>
      <c r="U172" s="4">
        <v>46404</v>
      </c>
      <c r="V172" s="4">
        <v>55685</v>
      </c>
      <c r="W172">
        <v>450</v>
      </c>
      <c r="X172">
        <v>450</v>
      </c>
      <c r="Y172">
        <v>450</v>
      </c>
      <c r="Z172">
        <v>463</v>
      </c>
      <c r="AA172">
        <v>488</v>
      </c>
      <c r="AB172">
        <v>4505</v>
      </c>
      <c r="AC172">
        <v>80321</v>
      </c>
      <c r="AD172">
        <v>10010</v>
      </c>
      <c r="AF172" s="4">
        <v>38</v>
      </c>
      <c r="AG172" s="4">
        <v>74934</v>
      </c>
      <c r="AH172" s="4">
        <v>5.55991731349224</v>
      </c>
    </row>
    <row r="173" spans="1:34">
      <c r="A173" s="4">
        <v>19</v>
      </c>
      <c r="C173" s="4">
        <v>404</v>
      </c>
      <c r="D173" s="4">
        <v>1327</v>
      </c>
      <c r="E173" s="4">
        <v>2942</v>
      </c>
      <c r="F173" s="4">
        <v>3530</v>
      </c>
      <c r="G173" s="4">
        <v>4236</v>
      </c>
      <c r="H173" s="4">
        <v>5083</v>
      </c>
      <c r="I173" s="4">
        <v>6100</v>
      </c>
      <c r="J173" s="4">
        <v>7320</v>
      </c>
      <c r="K173" s="4">
        <v>8784</v>
      </c>
      <c r="L173" s="4">
        <v>10541</v>
      </c>
      <c r="M173" s="4">
        <v>12649</v>
      </c>
      <c r="N173" s="4">
        <v>15179</v>
      </c>
      <c r="O173" s="4">
        <v>18215</v>
      </c>
      <c r="P173" s="4">
        <v>21858</v>
      </c>
      <c r="Q173" s="4">
        <v>26230</v>
      </c>
      <c r="R173" s="4">
        <v>31476</v>
      </c>
      <c r="S173" s="4">
        <v>37771</v>
      </c>
      <c r="T173" s="4">
        <v>45325</v>
      </c>
      <c r="U173" s="4">
        <v>54390</v>
      </c>
      <c r="V173" s="4">
        <v>65268</v>
      </c>
      <c r="W173">
        <v>488</v>
      </c>
      <c r="X173">
        <v>488</v>
      </c>
      <c r="Y173">
        <v>488</v>
      </c>
      <c r="Z173">
        <v>501</v>
      </c>
      <c r="AA173">
        <v>513</v>
      </c>
      <c r="AB173">
        <v>5444</v>
      </c>
      <c r="AC173">
        <v>95383</v>
      </c>
      <c r="AD173">
        <v>11887</v>
      </c>
      <c r="AF173" s="4">
        <v>39</v>
      </c>
      <c r="AG173" s="4">
        <v>82427</v>
      </c>
      <c r="AH173" s="4">
        <v>6.11590904484146</v>
      </c>
    </row>
    <row r="174" spans="1:34">
      <c r="A174" s="4">
        <v>20</v>
      </c>
      <c r="C174" s="4">
        <v>404</v>
      </c>
      <c r="D174" s="4">
        <v>1327</v>
      </c>
      <c r="E174" s="4">
        <v>3134</v>
      </c>
      <c r="F174" s="4">
        <v>3761</v>
      </c>
      <c r="G174" s="4">
        <v>4513</v>
      </c>
      <c r="H174" s="4">
        <v>5416</v>
      </c>
      <c r="I174" s="4">
        <v>6499</v>
      </c>
      <c r="J174" s="4">
        <v>7799</v>
      </c>
      <c r="K174" s="4">
        <v>9359</v>
      </c>
      <c r="L174" s="4">
        <v>11231</v>
      </c>
      <c r="M174" s="4">
        <v>13477</v>
      </c>
      <c r="N174" s="4">
        <v>16172</v>
      </c>
      <c r="O174" s="4">
        <v>19406</v>
      </c>
      <c r="P174" s="4">
        <v>23287</v>
      </c>
      <c r="Q174" s="4">
        <v>27944</v>
      </c>
      <c r="R174" s="4">
        <v>33533</v>
      </c>
      <c r="S174" s="4">
        <v>40240</v>
      </c>
      <c r="T174" s="4">
        <v>48288</v>
      </c>
      <c r="U174" s="4">
        <v>57946</v>
      </c>
      <c r="V174" s="4">
        <v>69535</v>
      </c>
      <c r="W174">
        <v>420</v>
      </c>
      <c r="X174">
        <v>420</v>
      </c>
      <c r="Y174">
        <v>420</v>
      </c>
      <c r="Z174">
        <v>430</v>
      </c>
      <c r="AA174">
        <v>450</v>
      </c>
      <c r="AB174">
        <v>5970</v>
      </c>
      <c r="AC174">
        <v>103039</v>
      </c>
      <c r="AD174">
        <v>12840</v>
      </c>
      <c r="AF174" s="4">
        <v>40</v>
      </c>
      <c r="AG174" s="4">
        <v>90670</v>
      </c>
      <c r="AH174" s="4">
        <v>6.72749994932561</v>
      </c>
    </row>
    <row r="178" spans="1:1">
      <c r="A178" s="4" t="s">
        <v>562</v>
      </c>
    </row>
    <row r="179" s="1" customFormat="1" ht="16.2" spans="1:34">
      <c r="A179" s="2" t="s">
        <v>528</v>
      </c>
      <c r="B179" s="2" t="s">
        <v>529</v>
      </c>
      <c r="C179" s="2" t="s">
        <v>530</v>
      </c>
      <c r="D179" s="2" t="s">
        <v>531</v>
      </c>
      <c r="E179" s="2" t="s">
        <v>532</v>
      </c>
      <c r="F179" s="2" t="s">
        <v>533</v>
      </c>
      <c r="G179" s="2" t="s">
        <v>534</v>
      </c>
      <c r="H179" s="2" t="s">
        <v>535</v>
      </c>
      <c r="I179" s="2" t="s">
        <v>536</v>
      </c>
      <c r="J179" s="2" t="s">
        <v>537</v>
      </c>
      <c r="K179" s="2" t="s">
        <v>538</v>
      </c>
      <c r="L179" s="2" t="s">
        <v>539</v>
      </c>
      <c r="M179" s="2" t="s">
        <v>540</v>
      </c>
      <c r="N179" s="2" t="s">
        <v>541</v>
      </c>
      <c r="O179" s="2" t="s">
        <v>542</v>
      </c>
      <c r="P179" s="2" t="s">
        <v>543</v>
      </c>
      <c r="Q179" s="2" t="s">
        <v>544</v>
      </c>
      <c r="R179" s="2" t="s">
        <v>545</v>
      </c>
      <c r="S179" s="2" t="s">
        <v>546</v>
      </c>
      <c r="T179" s="2" t="s">
        <v>547</v>
      </c>
      <c r="U179" s="2" t="s">
        <v>548</v>
      </c>
      <c r="V179" s="2" t="s">
        <v>549</v>
      </c>
      <c r="W179" s="2" t="s">
        <v>550</v>
      </c>
      <c r="X179" s="2" t="s">
        <v>551</v>
      </c>
      <c r="Y179" s="2" t="s">
        <v>552</v>
      </c>
      <c r="Z179" s="2" t="s">
        <v>553</v>
      </c>
      <c r="AA179" s="2" t="s">
        <v>554</v>
      </c>
      <c r="AB179" s="2" t="s">
        <v>555</v>
      </c>
      <c r="AF179" s="4"/>
      <c r="AG179" s="4"/>
      <c r="AH179" s="4"/>
    </row>
    <row r="180" spans="1:34">
      <c r="A180" s="4">
        <v>1</v>
      </c>
      <c r="C180" s="4">
        <v>18</v>
      </c>
      <c r="D180" s="4">
        <v>5</v>
      </c>
      <c r="E180" s="4">
        <v>11</v>
      </c>
      <c r="F180" s="4">
        <v>11</v>
      </c>
      <c r="G180" s="4">
        <v>11</v>
      </c>
      <c r="H180" s="4">
        <v>11</v>
      </c>
      <c r="I180" s="4">
        <v>11</v>
      </c>
      <c r="J180" s="4">
        <v>11</v>
      </c>
      <c r="K180" s="4">
        <v>11</v>
      </c>
      <c r="L180" s="4">
        <v>11</v>
      </c>
      <c r="M180" s="4">
        <v>11</v>
      </c>
      <c r="N180" s="4">
        <v>11</v>
      </c>
      <c r="O180" s="4">
        <v>11</v>
      </c>
      <c r="P180" s="4">
        <v>11</v>
      </c>
      <c r="Q180" s="4">
        <v>11</v>
      </c>
      <c r="R180" s="4">
        <v>11</v>
      </c>
      <c r="S180" s="4">
        <v>11</v>
      </c>
      <c r="T180" s="4">
        <v>11</v>
      </c>
      <c r="U180" s="4">
        <v>11</v>
      </c>
      <c r="V180" s="4">
        <v>11</v>
      </c>
      <c r="W180" s="7">
        <v>18</v>
      </c>
      <c r="X180" s="7">
        <v>18</v>
      </c>
      <c r="Y180" s="7">
        <v>18</v>
      </c>
      <c r="Z180" s="7">
        <v>18</v>
      </c>
      <c r="AA180" s="7">
        <v>18</v>
      </c>
      <c r="AB180" s="7">
        <v>15</v>
      </c>
      <c r="AC180">
        <v>20</v>
      </c>
      <c r="AD180">
        <v>26</v>
      </c>
      <c r="AF180" s="4">
        <v>21</v>
      </c>
      <c r="AG180" s="4">
        <v>10547.9</v>
      </c>
      <c r="AH180" s="4">
        <v>1.1</v>
      </c>
    </row>
    <row r="181" spans="1:34">
      <c r="A181" s="4">
        <v>2</v>
      </c>
      <c r="C181" s="4">
        <v>32</v>
      </c>
      <c r="D181" s="4">
        <v>9</v>
      </c>
      <c r="E181" s="4">
        <v>21</v>
      </c>
      <c r="F181" s="4">
        <v>21</v>
      </c>
      <c r="G181" s="4">
        <v>21</v>
      </c>
      <c r="H181" s="4">
        <v>21</v>
      </c>
      <c r="I181" s="4">
        <v>21</v>
      </c>
      <c r="J181" s="4">
        <v>21</v>
      </c>
      <c r="K181" s="4">
        <v>21</v>
      </c>
      <c r="L181" s="4">
        <v>21</v>
      </c>
      <c r="M181" s="4">
        <v>21</v>
      </c>
      <c r="N181" s="4">
        <v>21</v>
      </c>
      <c r="O181" s="4">
        <v>21</v>
      </c>
      <c r="P181" s="4">
        <v>21</v>
      </c>
      <c r="Q181" s="4">
        <v>21</v>
      </c>
      <c r="R181" s="4">
        <v>21</v>
      </c>
      <c r="S181" s="4">
        <v>21</v>
      </c>
      <c r="T181" s="4">
        <v>21</v>
      </c>
      <c r="U181" s="4">
        <v>21</v>
      </c>
      <c r="V181" s="4">
        <v>21</v>
      </c>
      <c r="W181" s="7">
        <v>37</v>
      </c>
      <c r="X181" s="7">
        <v>37</v>
      </c>
      <c r="Y181" s="7">
        <v>37</v>
      </c>
      <c r="Z181" s="7">
        <v>37</v>
      </c>
      <c r="AA181" s="7">
        <v>37</v>
      </c>
      <c r="AB181" s="7">
        <v>35</v>
      </c>
      <c r="AC181">
        <v>40</v>
      </c>
      <c r="AD181">
        <v>53</v>
      </c>
      <c r="AF181" s="4">
        <v>22</v>
      </c>
      <c r="AG181" s="4">
        <v>11603</v>
      </c>
      <c r="AH181" s="4">
        <v>1.21</v>
      </c>
    </row>
    <row r="182" spans="1:34">
      <c r="A182" s="4">
        <v>3</v>
      </c>
      <c r="C182" s="4">
        <v>66</v>
      </c>
      <c r="D182" s="4">
        <v>26</v>
      </c>
      <c r="E182" s="4">
        <v>53</v>
      </c>
      <c r="F182" s="4">
        <v>53</v>
      </c>
      <c r="G182" s="4">
        <v>53</v>
      </c>
      <c r="H182" s="4">
        <v>53</v>
      </c>
      <c r="I182" s="4">
        <v>53</v>
      </c>
      <c r="J182" s="4">
        <v>53</v>
      </c>
      <c r="K182" s="4">
        <v>53</v>
      </c>
      <c r="L182" s="4">
        <v>53</v>
      </c>
      <c r="M182" s="4">
        <v>53</v>
      </c>
      <c r="N182" s="4">
        <v>53</v>
      </c>
      <c r="O182" s="4">
        <v>53</v>
      </c>
      <c r="P182" s="4">
        <v>53</v>
      </c>
      <c r="Q182" s="4">
        <v>53</v>
      </c>
      <c r="R182" s="4">
        <v>53</v>
      </c>
      <c r="S182" s="4">
        <v>53</v>
      </c>
      <c r="T182" s="4">
        <v>53</v>
      </c>
      <c r="U182" s="4">
        <v>53</v>
      </c>
      <c r="V182" s="4">
        <v>53</v>
      </c>
      <c r="W182" s="7">
        <v>63</v>
      </c>
      <c r="X182" s="7">
        <v>63</v>
      </c>
      <c r="Y182" s="7">
        <v>63</v>
      </c>
      <c r="Z182" s="7">
        <v>63</v>
      </c>
      <c r="AA182" s="7">
        <v>63</v>
      </c>
      <c r="AB182" s="7">
        <v>71</v>
      </c>
      <c r="AC182">
        <v>98</v>
      </c>
      <c r="AD182">
        <v>131</v>
      </c>
      <c r="AF182" s="4">
        <v>23</v>
      </c>
      <c r="AG182" s="4">
        <v>12763</v>
      </c>
      <c r="AH182" s="4">
        <v>1.331</v>
      </c>
    </row>
    <row r="183" spans="1:34">
      <c r="A183" s="4">
        <v>4</v>
      </c>
      <c r="C183" s="4">
        <v>76</v>
      </c>
      <c r="D183" s="4">
        <v>61</v>
      </c>
      <c r="E183" s="4">
        <v>76</v>
      </c>
      <c r="F183" s="4">
        <v>76</v>
      </c>
      <c r="G183" s="4">
        <v>76</v>
      </c>
      <c r="H183" s="4">
        <v>76</v>
      </c>
      <c r="I183" s="4">
        <v>76</v>
      </c>
      <c r="J183" s="4">
        <v>76</v>
      </c>
      <c r="K183" s="4">
        <v>76</v>
      </c>
      <c r="L183" s="4">
        <v>76</v>
      </c>
      <c r="M183" s="4">
        <v>76</v>
      </c>
      <c r="N183" s="4">
        <v>76</v>
      </c>
      <c r="O183" s="4">
        <v>76</v>
      </c>
      <c r="P183" s="4">
        <v>76</v>
      </c>
      <c r="Q183" s="4">
        <v>76</v>
      </c>
      <c r="R183" s="4">
        <v>76</v>
      </c>
      <c r="S183" s="4">
        <v>76</v>
      </c>
      <c r="T183" s="4">
        <v>76</v>
      </c>
      <c r="U183" s="4">
        <v>76</v>
      </c>
      <c r="V183" s="4">
        <v>76</v>
      </c>
      <c r="W183" s="7">
        <v>74</v>
      </c>
      <c r="X183" s="7">
        <v>74</v>
      </c>
      <c r="Y183" s="7">
        <v>74</v>
      </c>
      <c r="Z183" s="7">
        <v>74</v>
      </c>
      <c r="AA183" s="7">
        <v>74</v>
      </c>
      <c r="AB183" s="7">
        <v>143</v>
      </c>
      <c r="AC183">
        <v>178</v>
      </c>
      <c r="AD183">
        <v>237</v>
      </c>
      <c r="AF183" s="4">
        <v>24</v>
      </c>
      <c r="AG183" s="4">
        <v>14039</v>
      </c>
      <c r="AH183" s="4">
        <v>1.4641</v>
      </c>
    </row>
    <row r="184" spans="1:34">
      <c r="A184" s="4">
        <v>5</v>
      </c>
      <c r="C184" s="4">
        <v>51</v>
      </c>
      <c r="D184" s="4">
        <v>53</v>
      </c>
      <c r="E184" s="4">
        <v>62</v>
      </c>
      <c r="F184" s="4">
        <v>62</v>
      </c>
      <c r="G184" s="4">
        <v>62</v>
      </c>
      <c r="H184" s="4">
        <v>62</v>
      </c>
      <c r="I184" s="4">
        <v>62</v>
      </c>
      <c r="J184" s="4">
        <v>62</v>
      </c>
      <c r="K184" s="4">
        <v>62</v>
      </c>
      <c r="L184" s="4">
        <v>62</v>
      </c>
      <c r="M184" s="4">
        <v>62</v>
      </c>
      <c r="N184" s="4">
        <v>71</v>
      </c>
      <c r="O184" s="4">
        <v>82</v>
      </c>
      <c r="P184" s="4">
        <v>94</v>
      </c>
      <c r="Q184" s="4">
        <v>108</v>
      </c>
      <c r="R184" s="4">
        <v>124</v>
      </c>
      <c r="S184" s="4">
        <v>143</v>
      </c>
      <c r="T184" s="4">
        <v>164</v>
      </c>
      <c r="U184" s="4">
        <v>189</v>
      </c>
      <c r="V184" s="4">
        <v>217</v>
      </c>
      <c r="W184" s="7">
        <v>53</v>
      </c>
      <c r="X184" s="7">
        <v>53</v>
      </c>
      <c r="Y184" s="7">
        <v>53</v>
      </c>
      <c r="Z184" s="7">
        <v>53</v>
      </c>
      <c r="AA184" s="7">
        <v>53</v>
      </c>
      <c r="AB184" s="7">
        <v>240</v>
      </c>
      <c r="AC184">
        <v>306</v>
      </c>
      <c r="AD184">
        <v>204</v>
      </c>
      <c r="AF184" s="4">
        <v>25</v>
      </c>
      <c r="AG184" s="4">
        <v>15443</v>
      </c>
      <c r="AH184" s="4">
        <v>1.61051</v>
      </c>
    </row>
    <row r="185" spans="1:34">
      <c r="A185" s="4">
        <v>6</v>
      </c>
      <c r="C185" s="4">
        <v>168</v>
      </c>
      <c r="D185" s="4">
        <v>181</v>
      </c>
      <c r="E185" s="4">
        <v>174</v>
      </c>
      <c r="F185" s="4">
        <v>174</v>
      </c>
      <c r="G185" s="4">
        <v>174</v>
      </c>
      <c r="H185" s="4">
        <v>174</v>
      </c>
      <c r="I185" s="4">
        <v>174</v>
      </c>
      <c r="J185" s="4">
        <v>174</v>
      </c>
      <c r="K185" s="4">
        <v>174</v>
      </c>
      <c r="L185" s="4">
        <v>174</v>
      </c>
      <c r="M185" s="4">
        <v>174</v>
      </c>
      <c r="N185" s="4">
        <v>200</v>
      </c>
      <c r="O185" s="4">
        <v>230</v>
      </c>
      <c r="P185" s="4">
        <v>265</v>
      </c>
      <c r="Q185" s="4">
        <v>305</v>
      </c>
      <c r="R185" s="4">
        <v>351</v>
      </c>
      <c r="S185" s="4">
        <v>404</v>
      </c>
      <c r="T185" s="4">
        <v>465</v>
      </c>
      <c r="U185" s="4">
        <v>535</v>
      </c>
      <c r="V185" s="4">
        <v>615</v>
      </c>
      <c r="W185" s="7">
        <v>130</v>
      </c>
      <c r="X185" s="7">
        <v>130</v>
      </c>
      <c r="Y185" s="7">
        <v>130</v>
      </c>
      <c r="Z185" s="7">
        <v>130</v>
      </c>
      <c r="AA185" s="7">
        <v>130</v>
      </c>
      <c r="AB185" s="7">
        <v>368</v>
      </c>
      <c r="AC185">
        <v>1042</v>
      </c>
      <c r="AD185">
        <v>689</v>
      </c>
      <c r="AF185" s="4">
        <v>26</v>
      </c>
      <c r="AG185" s="4">
        <v>16987</v>
      </c>
      <c r="AH185" s="4">
        <v>1.771561</v>
      </c>
    </row>
    <row r="186" spans="1:34">
      <c r="A186" s="4">
        <v>7</v>
      </c>
      <c r="C186" s="4">
        <v>331</v>
      </c>
      <c r="D186" s="4">
        <v>296</v>
      </c>
      <c r="E186" s="4">
        <v>302</v>
      </c>
      <c r="F186" s="4">
        <v>302</v>
      </c>
      <c r="G186" s="4">
        <v>302</v>
      </c>
      <c r="H186" s="4">
        <v>302</v>
      </c>
      <c r="I186" s="4">
        <v>302</v>
      </c>
      <c r="J186" s="4">
        <v>302</v>
      </c>
      <c r="K186" s="4">
        <v>302</v>
      </c>
      <c r="L186" s="4">
        <v>302</v>
      </c>
      <c r="M186" s="4">
        <v>302</v>
      </c>
      <c r="N186" s="4">
        <v>347</v>
      </c>
      <c r="O186" s="4">
        <v>399</v>
      </c>
      <c r="P186" s="4">
        <v>459</v>
      </c>
      <c r="Q186" s="4">
        <v>528</v>
      </c>
      <c r="R186" s="4">
        <v>607</v>
      </c>
      <c r="S186" s="4">
        <v>698</v>
      </c>
      <c r="T186" s="4">
        <v>803</v>
      </c>
      <c r="U186" s="4">
        <v>923</v>
      </c>
      <c r="V186" s="4">
        <v>1061</v>
      </c>
      <c r="W186" s="7">
        <v>154</v>
      </c>
      <c r="X186" s="7">
        <v>154</v>
      </c>
      <c r="Y186" s="7">
        <v>154</v>
      </c>
      <c r="Z186" s="7">
        <v>154</v>
      </c>
      <c r="AA186" s="7">
        <v>154</v>
      </c>
      <c r="AB186" s="7">
        <v>547</v>
      </c>
      <c r="AC186">
        <v>1544</v>
      </c>
      <c r="AD186">
        <v>1024</v>
      </c>
      <c r="AF186" s="4">
        <v>27</v>
      </c>
      <c r="AG186" s="4">
        <v>18686</v>
      </c>
      <c r="AH186" s="4">
        <v>1.9487171</v>
      </c>
    </row>
    <row r="187" spans="1:34">
      <c r="A187" s="4">
        <v>8</v>
      </c>
      <c r="C187" s="4">
        <v>417</v>
      </c>
      <c r="D187" s="4">
        <v>476</v>
      </c>
      <c r="E187" s="4">
        <v>428</v>
      </c>
      <c r="F187" s="4">
        <v>428</v>
      </c>
      <c r="G187" s="4">
        <v>428</v>
      </c>
      <c r="H187" s="4">
        <v>428</v>
      </c>
      <c r="I187" s="4">
        <v>428</v>
      </c>
      <c r="J187" s="4">
        <v>428</v>
      </c>
      <c r="K187" s="4">
        <v>428</v>
      </c>
      <c r="L187" s="4">
        <v>492</v>
      </c>
      <c r="M187" s="4">
        <v>566</v>
      </c>
      <c r="N187" s="4">
        <v>651</v>
      </c>
      <c r="O187" s="4">
        <v>749</v>
      </c>
      <c r="P187" s="4">
        <v>861</v>
      </c>
      <c r="Q187" s="4">
        <v>990</v>
      </c>
      <c r="R187" s="4">
        <v>1139</v>
      </c>
      <c r="S187" s="4">
        <v>1310</v>
      </c>
      <c r="T187" s="4">
        <v>1507</v>
      </c>
      <c r="U187" s="4">
        <v>1733</v>
      </c>
      <c r="V187" s="4">
        <v>1993</v>
      </c>
      <c r="W187" s="7">
        <v>165</v>
      </c>
      <c r="X187" s="7">
        <v>165</v>
      </c>
      <c r="Y187" s="7">
        <v>165</v>
      </c>
      <c r="Z187" s="7">
        <v>165</v>
      </c>
      <c r="AA187" s="7">
        <v>165</v>
      </c>
      <c r="AB187" s="7">
        <v>741</v>
      </c>
      <c r="AC187">
        <v>2772</v>
      </c>
      <c r="AD187">
        <v>1389</v>
      </c>
      <c r="AF187" s="4">
        <v>28</v>
      </c>
      <c r="AG187" s="4">
        <v>20555</v>
      </c>
      <c r="AH187" s="4">
        <v>2.14358881</v>
      </c>
    </row>
    <row r="188" spans="1:34">
      <c r="A188" s="4">
        <v>9</v>
      </c>
      <c r="C188" s="4">
        <v>495</v>
      </c>
      <c r="D188" s="4">
        <v>633</v>
      </c>
      <c r="E188" s="4">
        <v>499</v>
      </c>
      <c r="F188" s="4">
        <v>499</v>
      </c>
      <c r="G188" s="4">
        <v>499</v>
      </c>
      <c r="H188" s="4">
        <v>499</v>
      </c>
      <c r="I188" s="4">
        <v>499</v>
      </c>
      <c r="J188" s="4">
        <v>574</v>
      </c>
      <c r="K188" s="4">
        <v>660</v>
      </c>
      <c r="L188" s="4">
        <v>759</v>
      </c>
      <c r="M188" s="4">
        <v>873</v>
      </c>
      <c r="N188" s="4">
        <v>1004</v>
      </c>
      <c r="O188" s="4">
        <v>1155</v>
      </c>
      <c r="P188" s="4">
        <v>1328</v>
      </c>
      <c r="Q188" s="4">
        <v>1527</v>
      </c>
      <c r="R188" s="4">
        <v>1756</v>
      </c>
      <c r="S188" s="4">
        <v>2019</v>
      </c>
      <c r="T188" s="4">
        <v>2322</v>
      </c>
      <c r="U188" s="4">
        <v>2670</v>
      </c>
      <c r="V188" s="4">
        <v>3071</v>
      </c>
      <c r="W188" s="7">
        <v>189</v>
      </c>
      <c r="X188" s="7">
        <v>189</v>
      </c>
      <c r="Y188" s="7">
        <v>189</v>
      </c>
      <c r="Z188" s="7">
        <v>189</v>
      </c>
      <c r="AA188" s="7">
        <v>189</v>
      </c>
      <c r="AB188" s="7">
        <v>849</v>
      </c>
      <c r="AC188">
        <v>4450</v>
      </c>
      <c r="AD188">
        <v>1686</v>
      </c>
      <c r="AF188" s="4">
        <v>29</v>
      </c>
      <c r="AG188" s="4">
        <v>22611</v>
      </c>
      <c r="AH188" s="4">
        <v>2.357947691</v>
      </c>
    </row>
    <row r="189" spans="1:34">
      <c r="A189" s="4">
        <v>10</v>
      </c>
      <c r="C189" s="4">
        <v>404</v>
      </c>
      <c r="D189" s="4">
        <v>431</v>
      </c>
      <c r="E189" s="4">
        <v>308</v>
      </c>
      <c r="F189" s="4">
        <v>354</v>
      </c>
      <c r="G189" s="4">
        <v>407</v>
      </c>
      <c r="H189" s="4">
        <v>468</v>
      </c>
      <c r="I189" s="4">
        <v>538</v>
      </c>
      <c r="J189" s="4">
        <v>619</v>
      </c>
      <c r="K189" s="4">
        <v>712</v>
      </c>
      <c r="L189" s="4">
        <v>819</v>
      </c>
      <c r="M189" s="4">
        <v>942</v>
      </c>
      <c r="N189" s="4">
        <v>1083</v>
      </c>
      <c r="O189" s="4">
        <v>1245</v>
      </c>
      <c r="P189" s="4">
        <v>1432</v>
      </c>
      <c r="Q189" s="4">
        <v>1647</v>
      </c>
      <c r="R189" s="4">
        <v>1894</v>
      </c>
      <c r="S189" s="4">
        <v>2178</v>
      </c>
      <c r="T189" s="4">
        <v>2505</v>
      </c>
      <c r="U189" s="4">
        <v>2881</v>
      </c>
      <c r="V189" s="4">
        <v>3313</v>
      </c>
      <c r="W189" s="7">
        <v>118</v>
      </c>
      <c r="X189" s="7">
        <v>118</v>
      </c>
      <c r="Y189" s="7">
        <v>118</v>
      </c>
      <c r="Z189" s="7">
        <v>118</v>
      </c>
      <c r="AA189" s="7">
        <v>125</v>
      </c>
      <c r="AB189" s="7">
        <v>1160</v>
      </c>
      <c r="AC189">
        <v>5281</v>
      </c>
      <c r="AD189">
        <v>1145</v>
      </c>
      <c r="AF189" s="4">
        <v>30</v>
      </c>
      <c r="AG189" s="4">
        <v>24872</v>
      </c>
      <c r="AH189" s="4">
        <v>2.5937424601</v>
      </c>
    </row>
    <row r="190" spans="1:34">
      <c r="A190" s="4">
        <v>11</v>
      </c>
      <c r="C190" s="4">
        <v>404</v>
      </c>
      <c r="D190" s="4">
        <v>683</v>
      </c>
      <c r="E190" s="4">
        <v>621</v>
      </c>
      <c r="F190" s="4">
        <v>714</v>
      </c>
      <c r="G190" s="4">
        <v>821</v>
      </c>
      <c r="H190" s="4">
        <v>944</v>
      </c>
      <c r="I190" s="4">
        <v>1086</v>
      </c>
      <c r="J190" s="4">
        <v>1249</v>
      </c>
      <c r="K190" s="4">
        <v>1436</v>
      </c>
      <c r="L190" s="4">
        <v>1651</v>
      </c>
      <c r="M190" s="4">
        <v>1899</v>
      </c>
      <c r="N190" s="4">
        <v>2184</v>
      </c>
      <c r="O190" s="4">
        <v>2512</v>
      </c>
      <c r="P190" s="4">
        <v>2889</v>
      </c>
      <c r="Q190" s="4">
        <v>3322</v>
      </c>
      <c r="R190" s="4">
        <v>3820</v>
      </c>
      <c r="S190" s="4">
        <v>4393</v>
      </c>
      <c r="T190" s="4">
        <v>5052</v>
      </c>
      <c r="U190" s="4">
        <v>5810</v>
      </c>
      <c r="V190" s="4">
        <v>6682</v>
      </c>
      <c r="W190" s="7">
        <v>184</v>
      </c>
      <c r="X190" s="7">
        <v>184</v>
      </c>
      <c r="Y190" s="7">
        <v>184</v>
      </c>
      <c r="Z190" s="7">
        <v>184</v>
      </c>
      <c r="AA190" s="7">
        <v>184</v>
      </c>
      <c r="AB190" s="7">
        <v>1268</v>
      </c>
      <c r="AC190">
        <v>10214</v>
      </c>
      <c r="AD190">
        <v>2214</v>
      </c>
      <c r="AF190" s="4">
        <v>31</v>
      </c>
      <c r="AG190" s="4">
        <v>27359</v>
      </c>
      <c r="AH190" s="4">
        <v>2.85311670611</v>
      </c>
    </row>
    <row r="191" spans="1:34">
      <c r="A191" s="4">
        <v>12</v>
      </c>
      <c r="C191" s="4">
        <v>404</v>
      </c>
      <c r="D191" s="4">
        <v>815</v>
      </c>
      <c r="E191" s="4">
        <v>728</v>
      </c>
      <c r="F191" s="4">
        <v>837</v>
      </c>
      <c r="G191" s="4">
        <v>963</v>
      </c>
      <c r="H191" s="4">
        <v>1107</v>
      </c>
      <c r="I191" s="4">
        <v>1273</v>
      </c>
      <c r="J191" s="4">
        <v>1464</v>
      </c>
      <c r="K191" s="4">
        <v>1684</v>
      </c>
      <c r="L191" s="4">
        <v>1937</v>
      </c>
      <c r="M191" s="4">
        <v>2228</v>
      </c>
      <c r="N191" s="4">
        <v>2562</v>
      </c>
      <c r="O191" s="4">
        <v>2946</v>
      </c>
      <c r="P191" s="4">
        <v>3388</v>
      </c>
      <c r="Q191" s="4">
        <v>3896</v>
      </c>
      <c r="R191" s="4">
        <v>4480</v>
      </c>
      <c r="S191" s="4">
        <v>5152</v>
      </c>
      <c r="T191" s="4">
        <v>5925</v>
      </c>
      <c r="U191" s="4">
        <v>6814</v>
      </c>
      <c r="V191" s="4">
        <v>7836</v>
      </c>
      <c r="W191" s="7">
        <v>221</v>
      </c>
      <c r="X191" s="7">
        <v>221</v>
      </c>
      <c r="Y191" s="7">
        <v>221</v>
      </c>
      <c r="Z191" s="7">
        <v>221</v>
      </c>
      <c r="AA191" s="7">
        <v>231</v>
      </c>
      <c r="AB191" s="7">
        <v>1260</v>
      </c>
      <c r="AC191">
        <v>11631</v>
      </c>
      <c r="AD191">
        <v>2520</v>
      </c>
      <c r="AF191" s="4">
        <v>32</v>
      </c>
      <c r="AG191" s="4">
        <v>30095</v>
      </c>
      <c r="AH191" s="4">
        <v>3.138428376721</v>
      </c>
    </row>
    <row r="192" spans="1:34">
      <c r="A192" s="4">
        <v>13</v>
      </c>
      <c r="C192" s="4">
        <v>404</v>
      </c>
      <c r="D192" s="4">
        <v>995</v>
      </c>
      <c r="E192" s="4">
        <v>843</v>
      </c>
      <c r="F192" s="4">
        <v>969</v>
      </c>
      <c r="G192" s="4">
        <v>1114</v>
      </c>
      <c r="H192" s="4">
        <v>1281</v>
      </c>
      <c r="I192" s="4">
        <v>1473</v>
      </c>
      <c r="J192" s="4">
        <v>1694</v>
      </c>
      <c r="K192" s="4">
        <v>1948</v>
      </c>
      <c r="L192" s="4">
        <v>2240</v>
      </c>
      <c r="M192" s="4">
        <v>2576</v>
      </c>
      <c r="N192" s="4">
        <v>2962</v>
      </c>
      <c r="O192" s="4">
        <v>3406</v>
      </c>
      <c r="P192" s="4">
        <v>3917</v>
      </c>
      <c r="Q192" s="4">
        <v>4505</v>
      </c>
      <c r="R192" s="4">
        <v>5181</v>
      </c>
      <c r="S192" s="4">
        <v>5958</v>
      </c>
      <c r="T192" s="4">
        <v>6852</v>
      </c>
      <c r="U192" s="4">
        <v>7880</v>
      </c>
      <c r="V192" s="4">
        <v>9062</v>
      </c>
      <c r="W192" s="7">
        <v>241</v>
      </c>
      <c r="X192" s="7">
        <v>241</v>
      </c>
      <c r="Y192" s="7">
        <v>241</v>
      </c>
      <c r="Z192" s="7">
        <v>250</v>
      </c>
      <c r="AA192" s="7">
        <v>250</v>
      </c>
      <c r="AB192" s="7">
        <v>1515</v>
      </c>
      <c r="AC192">
        <v>13750</v>
      </c>
      <c r="AD192">
        <v>2983</v>
      </c>
      <c r="AF192" s="4">
        <v>33</v>
      </c>
      <c r="AG192" s="4">
        <v>33105</v>
      </c>
      <c r="AH192" s="4">
        <v>3.4522712143931</v>
      </c>
    </row>
    <row r="193" spans="1:34">
      <c r="A193" s="4">
        <v>14</v>
      </c>
      <c r="C193" s="4">
        <v>404</v>
      </c>
      <c r="D193" s="4">
        <v>1260</v>
      </c>
      <c r="E193" s="4">
        <v>1043</v>
      </c>
      <c r="F193" s="4">
        <v>1199</v>
      </c>
      <c r="G193" s="4">
        <v>1379</v>
      </c>
      <c r="H193" s="4">
        <v>1586</v>
      </c>
      <c r="I193" s="4">
        <v>1824</v>
      </c>
      <c r="J193" s="4">
        <v>2098</v>
      </c>
      <c r="K193" s="4">
        <v>2413</v>
      </c>
      <c r="L193" s="4">
        <v>2775</v>
      </c>
      <c r="M193" s="4">
        <v>3191</v>
      </c>
      <c r="N193" s="4">
        <v>3670</v>
      </c>
      <c r="O193" s="4">
        <v>4221</v>
      </c>
      <c r="P193" s="4">
        <v>4854</v>
      </c>
      <c r="Q193" s="4">
        <v>5582</v>
      </c>
      <c r="R193" s="4">
        <v>6419</v>
      </c>
      <c r="S193" s="4">
        <v>7382</v>
      </c>
      <c r="T193" s="4">
        <v>8489</v>
      </c>
      <c r="U193" s="4">
        <v>9762</v>
      </c>
      <c r="V193" s="4">
        <v>11226</v>
      </c>
      <c r="W193" s="7">
        <v>260</v>
      </c>
      <c r="X193" s="7">
        <v>260</v>
      </c>
      <c r="Y193" s="7">
        <v>260</v>
      </c>
      <c r="Z193" s="7">
        <v>270</v>
      </c>
      <c r="AA193" s="7">
        <v>279</v>
      </c>
      <c r="AB193" s="7">
        <v>1932</v>
      </c>
      <c r="AC193">
        <v>17341</v>
      </c>
      <c r="AD193">
        <v>3757</v>
      </c>
      <c r="AF193" s="4">
        <v>34</v>
      </c>
      <c r="AG193" s="4">
        <v>36416</v>
      </c>
      <c r="AH193" s="4">
        <v>3.79749833583241</v>
      </c>
    </row>
    <row r="194" spans="1:34">
      <c r="A194" s="4">
        <v>15</v>
      </c>
      <c r="C194" s="4">
        <v>404</v>
      </c>
      <c r="D194" s="4">
        <v>1327</v>
      </c>
      <c r="E194" s="4">
        <v>976</v>
      </c>
      <c r="F194" s="4">
        <v>1122</v>
      </c>
      <c r="G194" s="4">
        <v>1290</v>
      </c>
      <c r="H194" s="4">
        <v>1484</v>
      </c>
      <c r="I194" s="4">
        <v>1707</v>
      </c>
      <c r="J194" s="4">
        <v>1963</v>
      </c>
      <c r="K194" s="4">
        <v>2257</v>
      </c>
      <c r="L194" s="4">
        <v>2596</v>
      </c>
      <c r="M194" s="4">
        <v>2985</v>
      </c>
      <c r="N194" s="4">
        <v>3433</v>
      </c>
      <c r="O194" s="4">
        <v>3948</v>
      </c>
      <c r="P194" s="4">
        <v>4540</v>
      </c>
      <c r="Q194" s="4">
        <v>5221</v>
      </c>
      <c r="R194" s="4">
        <v>6004</v>
      </c>
      <c r="S194" s="4">
        <v>6905</v>
      </c>
      <c r="T194" s="4">
        <v>7941</v>
      </c>
      <c r="U194" s="4">
        <v>9132</v>
      </c>
      <c r="V194" s="4">
        <v>10502</v>
      </c>
      <c r="W194" s="7">
        <v>260</v>
      </c>
      <c r="X194" s="7">
        <v>260</v>
      </c>
      <c r="Y194" s="7">
        <v>260</v>
      </c>
      <c r="Z194" s="7">
        <v>260</v>
      </c>
      <c r="AA194" s="7">
        <v>269</v>
      </c>
      <c r="AB194" s="7">
        <v>2022</v>
      </c>
      <c r="AC194">
        <v>19428</v>
      </c>
      <c r="AD194">
        <v>4211</v>
      </c>
      <c r="AF194" s="4">
        <v>35</v>
      </c>
      <c r="AG194" s="4">
        <v>40058</v>
      </c>
      <c r="AH194" s="4">
        <v>4.17724816941566</v>
      </c>
    </row>
    <row r="195" spans="1:34">
      <c r="A195" s="4">
        <v>16</v>
      </c>
      <c r="C195" s="4">
        <v>404</v>
      </c>
      <c r="D195" s="4">
        <v>1327</v>
      </c>
      <c r="E195" s="4">
        <v>1585</v>
      </c>
      <c r="F195" s="4">
        <v>1823</v>
      </c>
      <c r="G195" s="4">
        <v>2096</v>
      </c>
      <c r="H195" s="4">
        <v>2410</v>
      </c>
      <c r="I195" s="4">
        <v>2772</v>
      </c>
      <c r="J195" s="4">
        <v>3188</v>
      </c>
      <c r="K195" s="4">
        <v>3666</v>
      </c>
      <c r="L195" s="4">
        <v>4216</v>
      </c>
      <c r="M195" s="4">
        <v>4848</v>
      </c>
      <c r="N195" s="4">
        <v>5575</v>
      </c>
      <c r="O195" s="4">
        <v>6411</v>
      </c>
      <c r="P195" s="4">
        <v>7373</v>
      </c>
      <c r="Q195" s="4">
        <v>8479</v>
      </c>
      <c r="R195" s="4">
        <v>9751</v>
      </c>
      <c r="S195" s="4">
        <v>11214</v>
      </c>
      <c r="T195" s="4">
        <v>12896</v>
      </c>
      <c r="U195" s="4">
        <v>14830</v>
      </c>
      <c r="V195" s="4">
        <v>17055</v>
      </c>
      <c r="W195" s="7">
        <v>370</v>
      </c>
      <c r="X195" s="7">
        <v>370</v>
      </c>
      <c r="Y195" s="7">
        <v>370</v>
      </c>
      <c r="Z195" s="7">
        <v>381</v>
      </c>
      <c r="AA195" s="7">
        <v>393</v>
      </c>
      <c r="AB195" s="7">
        <v>2888</v>
      </c>
      <c r="AC195">
        <v>28422</v>
      </c>
      <c r="AD195">
        <v>6160</v>
      </c>
      <c r="AF195" s="4">
        <v>36</v>
      </c>
      <c r="AG195" s="4">
        <v>44064</v>
      </c>
      <c r="AH195" s="4">
        <v>4.59497298635722</v>
      </c>
    </row>
    <row r="196" spans="1:34">
      <c r="A196" s="4">
        <v>17</v>
      </c>
      <c r="C196" s="4">
        <v>404</v>
      </c>
      <c r="D196" s="4">
        <v>1327</v>
      </c>
      <c r="E196" s="4">
        <v>2163</v>
      </c>
      <c r="F196" s="4">
        <v>2487</v>
      </c>
      <c r="G196" s="4">
        <v>2860</v>
      </c>
      <c r="H196" s="4">
        <v>3289</v>
      </c>
      <c r="I196" s="4">
        <v>3782</v>
      </c>
      <c r="J196" s="4">
        <v>4349</v>
      </c>
      <c r="K196" s="4">
        <v>5001</v>
      </c>
      <c r="L196" s="4">
        <v>5751</v>
      </c>
      <c r="M196" s="4">
        <v>6614</v>
      </c>
      <c r="N196" s="4">
        <v>7606</v>
      </c>
      <c r="O196" s="4">
        <v>8747</v>
      </c>
      <c r="P196" s="4">
        <v>10059</v>
      </c>
      <c r="Q196" s="4">
        <v>11568</v>
      </c>
      <c r="R196" s="4">
        <v>13303</v>
      </c>
      <c r="S196" s="4">
        <v>15298</v>
      </c>
      <c r="T196" s="4">
        <v>17593</v>
      </c>
      <c r="U196" s="4">
        <v>20232</v>
      </c>
      <c r="V196" s="4">
        <v>23267</v>
      </c>
      <c r="W196" s="7">
        <v>393</v>
      </c>
      <c r="X196" s="7">
        <v>393</v>
      </c>
      <c r="Y196" s="7">
        <v>393</v>
      </c>
      <c r="Z196" s="7">
        <v>404</v>
      </c>
      <c r="AA196" s="7">
        <v>416</v>
      </c>
      <c r="AB196" s="7">
        <v>4061</v>
      </c>
      <c r="AC196">
        <v>39309</v>
      </c>
      <c r="AD196">
        <v>8522</v>
      </c>
      <c r="AF196" s="4">
        <v>37</v>
      </c>
      <c r="AG196" s="4">
        <v>48470</v>
      </c>
      <c r="AH196" s="4">
        <v>5.05447028499295</v>
      </c>
    </row>
    <row r="197" spans="1:34">
      <c r="A197" s="4">
        <v>18</v>
      </c>
      <c r="C197" s="4">
        <v>404</v>
      </c>
      <c r="D197" s="4">
        <v>1327</v>
      </c>
      <c r="E197" s="4">
        <v>2510</v>
      </c>
      <c r="F197" s="4">
        <v>2887</v>
      </c>
      <c r="G197" s="4">
        <v>3320</v>
      </c>
      <c r="H197" s="4">
        <v>3818</v>
      </c>
      <c r="I197" s="4">
        <v>4391</v>
      </c>
      <c r="J197" s="4">
        <v>5050</v>
      </c>
      <c r="K197" s="4">
        <v>5808</v>
      </c>
      <c r="L197" s="4">
        <v>6679</v>
      </c>
      <c r="M197" s="4">
        <v>7681</v>
      </c>
      <c r="N197" s="4">
        <v>8833</v>
      </c>
      <c r="O197" s="4">
        <v>10158</v>
      </c>
      <c r="P197" s="4">
        <v>11682</v>
      </c>
      <c r="Q197" s="4">
        <v>13434</v>
      </c>
      <c r="R197" s="4">
        <v>15449</v>
      </c>
      <c r="S197" s="4">
        <v>17766</v>
      </c>
      <c r="T197" s="4">
        <v>20431</v>
      </c>
      <c r="U197" s="4">
        <v>23496</v>
      </c>
      <c r="V197" s="4">
        <v>27020</v>
      </c>
      <c r="W197" s="7">
        <v>450</v>
      </c>
      <c r="X197" s="7">
        <v>450</v>
      </c>
      <c r="Y197" s="7">
        <v>450</v>
      </c>
      <c r="Z197" s="7">
        <v>463</v>
      </c>
      <c r="AA197" s="7">
        <v>488</v>
      </c>
      <c r="AB197" s="7">
        <v>4505</v>
      </c>
      <c r="AC197">
        <v>46209</v>
      </c>
      <c r="AD197">
        <v>10010</v>
      </c>
      <c r="AF197" s="4">
        <v>38</v>
      </c>
      <c r="AG197" s="4">
        <v>53317</v>
      </c>
      <c r="AH197" s="4">
        <v>5.55991731349224</v>
      </c>
    </row>
    <row r="198" spans="1:34">
      <c r="A198" s="4">
        <v>19</v>
      </c>
      <c r="C198" s="4">
        <v>404</v>
      </c>
      <c r="D198" s="4">
        <v>1327</v>
      </c>
      <c r="E198" s="4">
        <v>2942</v>
      </c>
      <c r="F198" s="4">
        <v>3383</v>
      </c>
      <c r="G198" s="4">
        <v>3890</v>
      </c>
      <c r="H198" s="4">
        <v>4474</v>
      </c>
      <c r="I198" s="4">
        <v>5145</v>
      </c>
      <c r="J198" s="4">
        <v>5917</v>
      </c>
      <c r="K198" s="4">
        <v>6805</v>
      </c>
      <c r="L198" s="4">
        <v>7826</v>
      </c>
      <c r="M198" s="4">
        <v>9000</v>
      </c>
      <c r="N198" s="4">
        <v>10350</v>
      </c>
      <c r="O198" s="4">
        <v>11903</v>
      </c>
      <c r="P198" s="4">
        <v>13688</v>
      </c>
      <c r="Q198" s="4">
        <v>15741</v>
      </c>
      <c r="R198" s="4">
        <v>18102</v>
      </c>
      <c r="S198" s="4">
        <v>20817</v>
      </c>
      <c r="T198" s="4">
        <v>23940</v>
      </c>
      <c r="U198" s="4">
        <v>27531</v>
      </c>
      <c r="V198" s="4">
        <v>31661</v>
      </c>
      <c r="W198" s="7">
        <v>488</v>
      </c>
      <c r="X198" s="7">
        <v>488</v>
      </c>
      <c r="Y198" s="7">
        <v>488</v>
      </c>
      <c r="Z198" s="7">
        <v>501</v>
      </c>
      <c r="AA198" s="7">
        <v>513</v>
      </c>
      <c r="AB198" s="7">
        <v>5444</v>
      </c>
      <c r="AC198">
        <v>54855</v>
      </c>
      <c r="AD198">
        <v>11887</v>
      </c>
      <c r="AF198" s="4">
        <v>39</v>
      </c>
      <c r="AG198" s="4">
        <v>58649</v>
      </c>
      <c r="AH198" s="4">
        <v>6.11590904484146</v>
      </c>
    </row>
    <row r="199" spans="1:34">
      <c r="A199" s="4">
        <v>20</v>
      </c>
      <c r="C199" s="4">
        <v>404</v>
      </c>
      <c r="D199" s="4">
        <v>1327</v>
      </c>
      <c r="E199" s="4">
        <v>3134</v>
      </c>
      <c r="F199" s="4">
        <v>3604</v>
      </c>
      <c r="G199" s="4">
        <v>4145</v>
      </c>
      <c r="H199" s="4">
        <v>4767</v>
      </c>
      <c r="I199" s="4">
        <v>5482</v>
      </c>
      <c r="J199" s="4">
        <v>6304</v>
      </c>
      <c r="K199" s="4">
        <v>7250</v>
      </c>
      <c r="L199" s="4">
        <v>8338</v>
      </c>
      <c r="M199" s="4">
        <v>9589</v>
      </c>
      <c r="N199" s="4">
        <v>11027</v>
      </c>
      <c r="O199" s="4">
        <v>12681</v>
      </c>
      <c r="P199" s="4">
        <v>14583</v>
      </c>
      <c r="Q199" s="4">
        <v>16770</v>
      </c>
      <c r="R199" s="4">
        <v>19286</v>
      </c>
      <c r="S199" s="4">
        <v>22179</v>
      </c>
      <c r="T199" s="4">
        <v>25506</v>
      </c>
      <c r="U199" s="4">
        <v>29332</v>
      </c>
      <c r="V199" s="4">
        <v>33732</v>
      </c>
      <c r="W199" s="7">
        <v>420</v>
      </c>
      <c r="X199" s="7">
        <v>420</v>
      </c>
      <c r="Y199" s="7">
        <v>420</v>
      </c>
      <c r="Z199" s="7">
        <v>430</v>
      </c>
      <c r="AA199" s="7">
        <v>450</v>
      </c>
      <c r="AB199" s="7">
        <v>5970</v>
      </c>
      <c r="AC199">
        <v>59261</v>
      </c>
      <c r="AD199">
        <v>12840</v>
      </c>
      <c r="AF199" s="4">
        <v>40</v>
      </c>
      <c r="AG199" s="4">
        <v>64514</v>
      </c>
      <c r="AH199" s="4">
        <v>6.72749994932561</v>
      </c>
    </row>
    <row r="200" spans="1:34">
      <c r="A200" s="4">
        <v>21</v>
      </c>
      <c r="C200" s="4">
        <v>404</v>
      </c>
      <c r="D200" s="4">
        <v>1327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7">
        <v>948</v>
      </c>
      <c r="X200" s="7">
        <v>948</v>
      </c>
      <c r="Y200" s="7">
        <v>970</v>
      </c>
      <c r="Z200" s="7">
        <v>992</v>
      </c>
      <c r="AA200" s="7">
        <v>1014</v>
      </c>
      <c r="AB200" s="7">
        <v>0</v>
      </c>
      <c r="AC200">
        <v>0</v>
      </c>
      <c r="AD200">
        <v>0</v>
      </c>
      <c r="AF200" s="4">
        <v>41</v>
      </c>
      <c r="AG200" s="4">
        <v>70965</v>
      </c>
      <c r="AH200" s="4">
        <v>7.40024994425817</v>
      </c>
    </row>
    <row r="201" spans="1:34">
      <c r="A201" s="4">
        <v>22</v>
      </c>
      <c r="C201" s="4">
        <v>404</v>
      </c>
      <c r="D201" s="4">
        <v>1327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7">
        <v>992</v>
      </c>
      <c r="X201" s="7">
        <v>992</v>
      </c>
      <c r="Y201" s="7">
        <v>1014</v>
      </c>
      <c r="Z201" s="7">
        <v>1036</v>
      </c>
      <c r="AA201" s="7">
        <v>1080</v>
      </c>
      <c r="AB201" s="7">
        <v>0</v>
      </c>
      <c r="AC201">
        <v>0</v>
      </c>
      <c r="AF201" s="4">
        <v>42</v>
      </c>
      <c r="AG201" s="4">
        <v>78062</v>
      </c>
      <c r="AH201" s="4">
        <v>8.14027493868399</v>
      </c>
    </row>
    <row r="202" spans="1:34">
      <c r="A202" s="4">
        <v>23</v>
      </c>
      <c r="C202" s="4">
        <v>404</v>
      </c>
      <c r="D202" s="4">
        <v>1327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7">
        <v>1134</v>
      </c>
      <c r="X202" s="7">
        <v>1134</v>
      </c>
      <c r="Y202" s="7">
        <v>1158</v>
      </c>
      <c r="Z202" s="7">
        <v>1181</v>
      </c>
      <c r="AA202" s="7">
        <v>1205</v>
      </c>
      <c r="AB202" s="7">
        <v>0</v>
      </c>
      <c r="AC202">
        <v>0</v>
      </c>
      <c r="AF202" s="4">
        <v>43</v>
      </c>
      <c r="AG202" s="4">
        <v>85868</v>
      </c>
      <c r="AH202" s="4">
        <v>8.95430243255239</v>
      </c>
    </row>
    <row r="203" spans="1:34">
      <c r="A203" s="4">
        <v>24</v>
      </c>
      <c r="C203" s="4">
        <v>404</v>
      </c>
      <c r="D203" s="4">
        <v>1327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7">
        <v>1181</v>
      </c>
      <c r="X203" s="7">
        <v>1181</v>
      </c>
      <c r="Y203" s="7">
        <v>1205</v>
      </c>
      <c r="Z203" s="7">
        <v>1229</v>
      </c>
      <c r="AA203" s="7">
        <v>1276</v>
      </c>
      <c r="AB203" s="7">
        <v>0</v>
      </c>
      <c r="AC203">
        <v>0</v>
      </c>
      <c r="AF203" s="4">
        <v>44</v>
      </c>
      <c r="AG203" s="4">
        <v>94455</v>
      </c>
      <c r="AH203" s="4">
        <v>9.84973267580763</v>
      </c>
    </row>
    <row r="204" spans="1:34">
      <c r="A204" s="4">
        <v>25</v>
      </c>
      <c r="C204" s="4">
        <v>404</v>
      </c>
      <c r="D204" s="4">
        <v>1327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7">
        <v>710</v>
      </c>
      <c r="X204" s="7">
        <v>710</v>
      </c>
      <c r="Y204" s="7">
        <v>737</v>
      </c>
      <c r="Z204" s="7">
        <v>751</v>
      </c>
      <c r="AA204" s="7">
        <v>764</v>
      </c>
      <c r="AB204" s="7">
        <v>0</v>
      </c>
      <c r="AC204">
        <v>0</v>
      </c>
      <c r="AF204" s="4">
        <v>45</v>
      </c>
      <c r="AG204" s="4">
        <v>103901</v>
      </c>
      <c r="AH204" s="4">
        <v>10.8347059433884</v>
      </c>
    </row>
    <row r="205" spans="1:34">
      <c r="A205" s="4">
        <v>26</v>
      </c>
      <c r="C205" s="4">
        <v>404</v>
      </c>
      <c r="D205" s="4">
        <v>1327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7">
        <v>1474</v>
      </c>
      <c r="X205" s="7">
        <v>1474</v>
      </c>
      <c r="Y205" s="7">
        <v>1529</v>
      </c>
      <c r="Z205" s="7">
        <v>1556</v>
      </c>
      <c r="AA205" s="7">
        <v>1611</v>
      </c>
      <c r="AB205" s="7">
        <v>0</v>
      </c>
      <c r="AC205">
        <v>0</v>
      </c>
      <c r="AF205" s="4">
        <v>46</v>
      </c>
      <c r="AG205" s="4">
        <v>114291</v>
      </c>
      <c r="AH205" s="4">
        <v>11.9181765377272</v>
      </c>
    </row>
    <row r="206" spans="1:34">
      <c r="A206" s="4">
        <v>27</v>
      </c>
      <c r="C206" s="4">
        <v>404</v>
      </c>
      <c r="D206" s="4">
        <v>1327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7">
        <v>1653</v>
      </c>
      <c r="X206" s="7">
        <v>1653</v>
      </c>
      <c r="Y206" s="7">
        <v>1711</v>
      </c>
      <c r="Z206" s="7">
        <v>1740</v>
      </c>
      <c r="AA206" s="7">
        <v>1769</v>
      </c>
      <c r="AB206" s="7">
        <v>0</v>
      </c>
      <c r="AC206">
        <v>0</v>
      </c>
      <c r="AF206" s="4">
        <v>47</v>
      </c>
      <c r="AG206" s="4">
        <v>125720</v>
      </c>
      <c r="AH206" s="4">
        <v>13.1099941915</v>
      </c>
    </row>
    <row r="207" spans="1:34">
      <c r="A207" s="4">
        <v>28</v>
      </c>
      <c r="C207" s="4">
        <v>404</v>
      </c>
      <c r="D207" s="4">
        <v>1327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7">
        <v>1711</v>
      </c>
      <c r="X207" s="7">
        <v>1711</v>
      </c>
      <c r="Y207" s="7">
        <v>1769</v>
      </c>
      <c r="Z207" s="7">
        <v>1798</v>
      </c>
      <c r="AA207" s="7">
        <v>1856</v>
      </c>
      <c r="AB207" s="7">
        <v>0</v>
      </c>
      <c r="AC207">
        <v>0</v>
      </c>
      <c r="AF207" s="4">
        <v>48</v>
      </c>
      <c r="AG207" s="4">
        <v>138292</v>
      </c>
      <c r="AH207" s="4">
        <v>14.42099361065</v>
      </c>
    </row>
    <row r="208" spans="1:34">
      <c r="A208" s="4">
        <v>29</v>
      </c>
      <c r="C208" s="4">
        <v>404</v>
      </c>
      <c r="D208" s="4">
        <v>1327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7">
        <v>1873</v>
      </c>
      <c r="X208" s="7">
        <v>1873</v>
      </c>
      <c r="Y208" s="7">
        <v>1966</v>
      </c>
      <c r="Z208" s="7">
        <v>1996</v>
      </c>
      <c r="AA208" s="7">
        <v>2027</v>
      </c>
      <c r="AB208" s="7">
        <v>0</v>
      </c>
      <c r="AC208">
        <v>0</v>
      </c>
      <c r="AF208" s="4">
        <v>49</v>
      </c>
      <c r="AG208" s="4">
        <v>152121</v>
      </c>
      <c r="AH208" s="4">
        <v>15.863092971715</v>
      </c>
    </row>
    <row r="209" spans="1:34">
      <c r="A209" s="4">
        <v>30</v>
      </c>
      <c r="C209" s="4">
        <v>404</v>
      </c>
      <c r="D209" s="4">
        <v>1327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7">
        <v>1158</v>
      </c>
      <c r="X209" s="7">
        <v>1158</v>
      </c>
      <c r="Y209" s="7">
        <v>1213</v>
      </c>
      <c r="Z209" s="7">
        <v>1231</v>
      </c>
      <c r="AA209" s="7">
        <v>1268</v>
      </c>
      <c r="AB209" s="7">
        <v>0</v>
      </c>
      <c r="AC209">
        <v>0</v>
      </c>
      <c r="AF209" s="4">
        <v>50</v>
      </c>
      <c r="AG209" s="4">
        <v>167333</v>
      </c>
      <c r="AH209" s="4">
        <v>17.4494022688864</v>
      </c>
    </row>
    <row r="210" spans="23:28">
      <c r="W210" s="7"/>
      <c r="X210" s="7"/>
      <c r="Y210" s="7"/>
      <c r="Z210" s="7"/>
      <c r="AA210" s="7"/>
      <c r="AB210" s="7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77"/>
  <sheetViews>
    <sheetView topLeftCell="A19" workbookViewId="0">
      <selection activeCell="Q51" sqref="Q51"/>
    </sheetView>
  </sheetViews>
  <sheetFormatPr defaultColWidth="8.88888888888889" defaultRowHeight="13.8"/>
  <cols>
    <col min="1" max="1" width="9.44444444444444" style="7" customWidth="1"/>
    <col min="2" max="2" width="16" style="7" customWidth="1"/>
    <col min="3" max="3" width="16.7777777777778" style="7" customWidth="1"/>
    <col min="4" max="5" width="9.88888888888889" style="7" customWidth="1"/>
    <col min="6" max="6" width="10.8888888888889" style="7" customWidth="1"/>
    <col min="7" max="7" width="13.7777777777778" style="7" customWidth="1"/>
    <col min="8" max="8" width="10.1111111111111" style="7" customWidth="1"/>
    <col min="9" max="9" width="11" style="7" customWidth="1"/>
    <col min="10" max="10" width="10.2222222222222" style="7" customWidth="1"/>
    <col min="11" max="11" width="9.66666666666667" style="7" customWidth="1"/>
    <col min="12" max="12" width="10.3333333333333" style="7" customWidth="1"/>
    <col min="13" max="13" width="20" style="7" customWidth="1"/>
    <col min="14" max="14" width="11.7777777777778" style="7" customWidth="1"/>
    <col min="15" max="15" width="11.8055555555556" style="7" customWidth="1"/>
    <col min="16" max="16" width="9.11111111111111" style="7" customWidth="1"/>
    <col min="17" max="17" width="8.22222222222222" style="7" customWidth="1"/>
    <col min="18" max="18" width="9.88888888888889" style="7" customWidth="1"/>
    <col min="19" max="19" width="12.8888888888889" style="7" customWidth="1"/>
    <col min="20" max="20" width="12.7777777777778" style="7" customWidth="1"/>
    <col min="21" max="21" width="10" style="7" customWidth="1"/>
    <col min="22" max="22" width="12.5555555555556" style="7" customWidth="1"/>
    <col min="23" max="23" width="11.8888888888889" customWidth="1"/>
    <col min="24" max="24" width="6" customWidth="1"/>
    <col min="25" max="25" width="6" style="4" customWidth="1"/>
    <col min="27" max="27" width="8.88888888888889" style="7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4">
        <v>101</v>
      </c>
      <c r="Y1" s="7">
        <v>3</v>
      </c>
      <c r="AA1" s="7"/>
    </row>
    <row r="2" spans="1:25">
      <c r="A2" s="7">
        <v>1</v>
      </c>
      <c r="B2" s="7">
        <v>100</v>
      </c>
      <c r="C2" s="7">
        <f>ROUNDDOWN(B2/35,0)</f>
        <v>2</v>
      </c>
      <c r="D2" s="7">
        <v>0</v>
      </c>
      <c r="E2" s="7">
        <f>INDEX($B$39:$B$49,MATCH(D2,$A$39:$A$49,0))</f>
        <v>1</v>
      </c>
      <c r="F2" s="7">
        <f>ROUND(C2*$Y$6/100,0)</f>
        <v>2</v>
      </c>
      <c r="G2" s="7">
        <f>E2*F2/2</f>
        <v>1</v>
      </c>
      <c r="H2" s="7">
        <v>1</v>
      </c>
      <c r="I2" s="7">
        <f>X1</f>
        <v>101</v>
      </c>
      <c r="J2" s="7">
        <v>10</v>
      </c>
      <c r="K2" s="7" t="str">
        <f>IF(H2=1,"",INDEX($X$1:$X$3,MATCH(H2,$V$1:$V$3,0)))</f>
        <v/>
      </c>
      <c r="L2" s="7" t="str">
        <f>IF(H2=1,"",IF(H2=2,5,1))</f>
        <v/>
      </c>
      <c r="N2" s="7">
        <f>X1</f>
        <v>101</v>
      </c>
      <c r="O2" s="7">
        <v>10</v>
      </c>
      <c r="P2" s="7" t="str">
        <f>IF(H2=1,"",INDEX($X$1:$X$3,MATCH(H2,$V$1:$V$3,0)))</f>
        <v/>
      </c>
      <c r="Q2" s="7" t="str">
        <f>IF(H2=1,"",IF(H2=2,5,1))</f>
        <v/>
      </c>
      <c r="S2" s="7">
        <f>SUM(J2,Q2,,O2,L2)</f>
        <v>20</v>
      </c>
      <c r="U2" s="7">
        <f>SUM(J2,L2)+15</f>
        <v>25</v>
      </c>
      <c r="V2" s="7">
        <v>2</v>
      </c>
      <c r="W2" s="4" t="s">
        <v>577</v>
      </c>
      <c r="X2" s="4">
        <v>105</v>
      </c>
      <c r="Y2" s="4">
        <v>5</v>
      </c>
    </row>
    <row r="3" spans="1:25">
      <c r="A3" s="7">
        <v>2</v>
      </c>
      <c r="B3" s="7">
        <v>160</v>
      </c>
      <c r="C3" s="7">
        <f t="shared" ref="C3:C32" si="0">ROUNDDOWN(B3/35,0)</f>
        <v>4</v>
      </c>
      <c r="D3" s="7">
        <v>0</v>
      </c>
      <c r="E3" s="7">
        <f t="shared" ref="E3:E11" si="1">INDEX($B$39:$B$49,MATCH(D3,$A$39:$A$49,0))</f>
        <v>1</v>
      </c>
      <c r="F3" s="7">
        <f t="shared" ref="F3:F33" si="2">ROUND(C3*$Y$6/100,0)</f>
        <v>3</v>
      </c>
      <c r="G3" s="7">
        <f t="shared" ref="G3:G11" si="3">E3*F3/2</f>
        <v>1.5</v>
      </c>
      <c r="H3" s="7">
        <v>1</v>
      </c>
      <c r="I3" s="7">
        <f>I2</f>
        <v>101</v>
      </c>
      <c r="J3" s="7">
        <v>10</v>
      </c>
      <c r="K3" s="7" t="str">
        <f t="shared" ref="K3:K31" si="4">IF(H3=1,"",INDEX($X$1:$X$3,MATCH(H3,$V$1:$V$3,0)))</f>
        <v/>
      </c>
      <c r="L3" s="7" t="str">
        <f t="shared" ref="L3:L31" si="5">IF(H3=1,"",IF(H3=2,5,1))</f>
        <v/>
      </c>
      <c r="N3" s="7">
        <f>N2</f>
        <v>101</v>
      </c>
      <c r="O3" s="7">
        <v>10</v>
      </c>
      <c r="P3" s="7" t="str">
        <f>IF(H3=1,"",INDEX($X$1:$X$3,MATCH(H3,$V$1:$V$3,0)))</f>
        <v/>
      </c>
      <c r="Q3" s="7" t="str">
        <f t="shared" ref="Q3:Q31" si="6">IF(H3=1,"",IF(H3=2,5,1))</f>
        <v/>
      </c>
      <c r="S3" s="7">
        <f t="shared" ref="S3:S32" si="7">SUM(J3,Q3,,O3,L3)</f>
        <v>20</v>
      </c>
      <c r="U3" s="7">
        <f t="shared" ref="U3:U31" si="8">SUM(J3,L3)+15</f>
        <v>25</v>
      </c>
      <c r="V3" s="7">
        <v>3</v>
      </c>
      <c r="W3" s="4" t="s">
        <v>578</v>
      </c>
      <c r="X3" s="4">
        <v>106</v>
      </c>
      <c r="Y3" s="7">
        <v>10</v>
      </c>
    </row>
    <row r="4" spans="1:24">
      <c r="A4" s="7">
        <v>3</v>
      </c>
      <c r="B4" s="7">
        <v>220</v>
      </c>
      <c r="C4" s="7">
        <f t="shared" si="0"/>
        <v>6</v>
      </c>
      <c r="D4" s="7">
        <v>1</v>
      </c>
      <c r="E4" s="7">
        <f t="shared" si="1"/>
        <v>1.5</v>
      </c>
      <c r="F4" s="7">
        <f t="shared" si="2"/>
        <v>5</v>
      </c>
      <c r="G4" s="7">
        <f t="shared" si="3"/>
        <v>3.75</v>
      </c>
      <c r="H4" s="7">
        <v>1</v>
      </c>
      <c r="I4" s="7">
        <f t="shared" ref="I4:I31" si="9">I3</f>
        <v>101</v>
      </c>
      <c r="J4" s="7">
        <v>10</v>
      </c>
      <c r="K4" s="7" t="str">
        <f t="shared" si="4"/>
        <v/>
      </c>
      <c r="L4" s="7" t="str">
        <f t="shared" si="5"/>
        <v/>
      </c>
      <c r="N4" s="7">
        <f t="shared" ref="N4:N31" si="10">N3</f>
        <v>101</v>
      </c>
      <c r="O4" s="7">
        <v>10</v>
      </c>
      <c r="P4" s="7" t="str">
        <f>IF(H4=1,"",INDEX($X$1:$X$3,MATCH(H4,$V$1:$V$3,0)))</f>
        <v/>
      </c>
      <c r="Q4" s="7" t="str">
        <f t="shared" si="6"/>
        <v/>
      </c>
      <c r="S4" s="7">
        <f t="shared" si="7"/>
        <v>20</v>
      </c>
      <c r="U4" s="7">
        <f t="shared" si="8"/>
        <v>25</v>
      </c>
      <c r="W4" s="4"/>
      <c r="X4" s="4"/>
    </row>
    <row r="5" spans="1:27">
      <c r="A5" s="7">
        <v>4</v>
      </c>
      <c r="B5" s="7">
        <v>280</v>
      </c>
      <c r="C5" s="7">
        <f t="shared" si="0"/>
        <v>8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 t="shared" si="9"/>
        <v>101</v>
      </c>
      <c r="J5" s="7">
        <v>10</v>
      </c>
      <c r="K5" s="7" t="str">
        <f t="shared" si="4"/>
        <v/>
      </c>
      <c r="L5" s="7" t="str">
        <f t="shared" si="5"/>
        <v/>
      </c>
      <c r="N5" s="7">
        <f t="shared" si="10"/>
        <v>101</v>
      </c>
      <c r="O5" s="7">
        <v>10</v>
      </c>
      <c r="P5" s="7" t="str">
        <f>IF(H5=1,"",INDEX($X$1:$X$3,MATCH(H5,$V$1:$V$3,0)))</f>
        <v/>
      </c>
      <c r="Q5" s="7" t="str">
        <f t="shared" si="6"/>
        <v/>
      </c>
      <c r="S5" s="7">
        <f t="shared" si="7"/>
        <v>20</v>
      </c>
      <c r="U5" s="7">
        <f t="shared" si="8"/>
        <v>25</v>
      </c>
      <c r="V5" s="7" t="s">
        <v>579</v>
      </c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10</v>
      </c>
      <c r="D6" s="7">
        <v>2</v>
      </c>
      <c r="E6" s="7">
        <f t="shared" si="1"/>
        <v>2.25</v>
      </c>
      <c r="F6" s="7">
        <f t="shared" si="2"/>
        <v>8</v>
      </c>
      <c r="G6" s="7">
        <f t="shared" si="3"/>
        <v>9</v>
      </c>
      <c r="H6" s="7">
        <v>2</v>
      </c>
      <c r="I6" s="7">
        <f t="shared" si="9"/>
        <v>101</v>
      </c>
      <c r="J6" s="7">
        <v>5</v>
      </c>
      <c r="K6" s="7">
        <f t="shared" si="4"/>
        <v>105</v>
      </c>
      <c r="L6" s="7">
        <f t="shared" si="5"/>
        <v>5</v>
      </c>
      <c r="N6" s="7">
        <f t="shared" si="10"/>
        <v>101</v>
      </c>
      <c r="O6" s="7">
        <v>5</v>
      </c>
      <c r="P6" s="7">
        <f>IF(H6=1,"",INDEX($X$1:$X$3,MATCH(H6,$V$1:$V$3,0)))</f>
        <v>105</v>
      </c>
      <c r="Q6" s="7">
        <f t="shared" si="6"/>
        <v>5</v>
      </c>
      <c r="S6" s="7">
        <f t="shared" si="7"/>
        <v>20</v>
      </c>
      <c r="U6" s="7">
        <f t="shared" si="8"/>
        <v>25</v>
      </c>
      <c r="V6" s="7">
        <v>1</v>
      </c>
      <c r="W6" s="7" t="s">
        <v>582</v>
      </c>
      <c r="X6" s="7">
        <v>35</v>
      </c>
      <c r="Y6" s="4">
        <v>80</v>
      </c>
      <c r="Z6" s="7">
        <f>ROUND(85*Y6/100,0)</f>
        <v>68</v>
      </c>
      <c r="AA6" s="7">
        <f>ROUND($W$13*Y6/100,0)</f>
        <v>48</v>
      </c>
    </row>
    <row r="7" spans="1:27">
      <c r="A7" s="7">
        <v>6</v>
      </c>
      <c r="B7" s="7">
        <v>420</v>
      </c>
      <c r="C7" s="7">
        <f t="shared" si="0"/>
        <v>12</v>
      </c>
      <c r="D7" s="7">
        <v>2</v>
      </c>
      <c r="E7" s="7">
        <f t="shared" si="1"/>
        <v>2.25</v>
      </c>
      <c r="F7" s="7">
        <f t="shared" si="2"/>
        <v>10</v>
      </c>
      <c r="G7" s="7">
        <f t="shared" si="3"/>
        <v>11.25</v>
      </c>
      <c r="H7" s="7">
        <v>1</v>
      </c>
      <c r="I7" s="7">
        <f t="shared" si="9"/>
        <v>101</v>
      </c>
      <c r="J7" s="7">
        <v>10</v>
      </c>
      <c r="K7" s="7" t="str">
        <f t="shared" si="4"/>
        <v/>
      </c>
      <c r="L7" s="7" t="str">
        <f t="shared" si="5"/>
        <v/>
      </c>
      <c r="N7" s="7">
        <f t="shared" si="10"/>
        <v>101</v>
      </c>
      <c r="O7" s="7">
        <v>10</v>
      </c>
      <c r="P7" s="7" t="str">
        <f>IF(H7=1,"",INDEX($X$1:$X$3,MATCH(H7,$V$1:$V$3,0)))</f>
        <v/>
      </c>
      <c r="Q7" s="7" t="str">
        <f t="shared" si="6"/>
        <v/>
      </c>
      <c r="S7" s="7">
        <f t="shared" si="7"/>
        <v>20</v>
      </c>
      <c r="U7" s="7">
        <f t="shared" si="8"/>
        <v>25</v>
      </c>
      <c r="V7" s="7">
        <v>2</v>
      </c>
      <c r="W7" s="7" t="s">
        <v>583</v>
      </c>
      <c r="X7" s="7">
        <v>90</v>
      </c>
      <c r="Y7" s="4">
        <v>3</v>
      </c>
      <c r="Z7" s="7">
        <f>ROUND(85*Y7/100,0)</f>
        <v>3</v>
      </c>
      <c r="AA7" s="7">
        <f>ROUND($W$13*Y7/100,0)</f>
        <v>2</v>
      </c>
    </row>
    <row r="8" spans="1:27">
      <c r="A8" s="7">
        <v>7</v>
      </c>
      <c r="B8" s="7">
        <v>480</v>
      </c>
      <c r="C8" s="7">
        <f t="shared" si="0"/>
        <v>13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9"/>
        <v>101</v>
      </c>
      <c r="J8" s="7">
        <v>10</v>
      </c>
      <c r="K8" s="7" t="str">
        <f t="shared" si="4"/>
        <v/>
      </c>
      <c r="L8" s="7" t="str">
        <f t="shared" si="5"/>
        <v/>
      </c>
      <c r="N8" s="7">
        <f t="shared" si="10"/>
        <v>101</v>
      </c>
      <c r="O8" s="7">
        <v>10</v>
      </c>
      <c r="P8" s="7" t="str">
        <f>IF(H8=1,"",INDEX($X$1:$X$3,MATCH(H8,$V$1:$V$3,0)))</f>
        <v/>
      </c>
      <c r="Q8" s="7" t="str">
        <f t="shared" si="6"/>
        <v/>
      </c>
      <c r="S8" s="7">
        <f t="shared" si="7"/>
        <v>20</v>
      </c>
      <c r="U8" s="7">
        <f t="shared" si="8"/>
        <v>25</v>
      </c>
      <c r="V8" s="7">
        <v>3</v>
      </c>
      <c r="W8" s="7" t="s">
        <v>584</v>
      </c>
      <c r="X8" s="7">
        <v>50</v>
      </c>
      <c r="Y8" s="4">
        <v>3</v>
      </c>
      <c r="Z8" s="7">
        <f>ROUND(85*Y8/100,0)</f>
        <v>3</v>
      </c>
      <c r="AA8" s="7">
        <f>ROUND($W$13*Y8/100,0)</f>
        <v>2</v>
      </c>
    </row>
    <row r="9" spans="1:27">
      <c r="A9" s="7">
        <v>8</v>
      </c>
      <c r="B9" s="7">
        <v>540</v>
      </c>
      <c r="C9" s="7">
        <f t="shared" si="0"/>
        <v>15</v>
      </c>
      <c r="D9" s="7">
        <v>3</v>
      </c>
      <c r="E9" s="7">
        <f t="shared" si="1"/>
        <v>3</v>
      </c>
      <c r="F9" s="7">
        <f t="shared" si="2"/>
        <v>12</v>
      </c>
      <c r="G9" s="7">
        <f t="shared" si="3"/>
        <v>18</v>
      </c>
      <c r="H9" s="7">
        <v>1</v>
      </c>
      <c r="I9" s="7">
        <f t="shared" si="9"/>
        <v>101</v>
      </c>
      <c r="J9" s="7">
        <v>10</v>
      </c>
      <c r="K9" s="7" t="str">
        <f t="shared" si="4"/>
        <v/>
      </c>
      <c r="L9" s="7" t="str">
        <f t="shared" si="5"/>
        <v/>
      </c>
      <c r="N9" s="7">
        <f t="shared" si="10"/>
        <v>101</v>
      </c>
      <c r="O9" s="7">
        <v>10</v>
      </c>
      <c r="P9" s="7" t="str">
        <f>IF(H9=1,"",INDEX($X$1:$X$3,MATCH(H9,$V$1:$V$3,0)))</f>
        <v/>
      </c>
      <c r="Q9" s="7" t="str">
        <f t="shared" si="6"/>
        <v/>
      </c>
      <c r="S9" s="7">
        <f t="shared" si="7"/>
        <v>20</v>
      </c>
      <c r="U9" s="7">
        <f t="shared" si="8"/>
        <v>25</v>
      </c>
      <c r="V9" s="7">
        <v>4</v>
      </c>
      <c r="W9" s="7" t="s">
        <v>585</v>
      </c>
      <c r="X9" s="7">
        <v>35</v>
      </c>
      <c r="Y9" s="4">
        <v>6</v>
      </c>
      <c r="Z9" s="7">
        <f>ROUND(85*Y9/100,0)</f>
        <v>5</v>
      </c>
      <c r="AA9" s="7">
        <f>ROUND($W$13*Y9/100,0)</f>
        <v>4</v>
      </c>
    </row>
    <row r="10" spans="1:27">
      <c r="A10" s="7">
        <v>9</v>
      </c>
      <c r="B10" s="7">
        <v>600</v>
      </c>
      <c r="C10" s="7">
        <f t="shared" si="0"/>
        <v>17</v>
      </c>
      <c r="D10" s="7">
        <v>4</v>
      </c>
      <c r="E10" s="7">
        <f t="shared" si="1"/>
        <v>3.75</v>
      </c>
      <c r="F10" s="7">
        <f t="shared" si="2"/>
        <v>14</v>
      </c>
      <c r="G10" s="7">
        <f t="shared" si="3"/>
        <v>26.25</v>
      </c>
      <c r="H10" s="7">
        <v>1</v>
      </c>
      <c r="I10" s="7">
        <f t="shared" si="9"/>
        <v>101</v>
      </c>
      <c r="J10" s="7">
        <v>10</v>
      </c>
      <c r="K10" s="7" t="str">
        <f t="shared" si="4"/>
        <v/>
      </c>
      <c r="L10" s="7" t="str">
        <f t="shared" si="5"/>
        <v/>
      </c>
      <c r="N10" s="7">
        <f t="shared" si="10"/>
        <v>101</v>
      </c>
      <c r="O10" s="7">
        <v>10</v>
      </c>
      <c r="P10" s="7" t="str">
        <f>IF(H10=1,"",INDEX($X$1:$X$3,MATCH(H10,$V$1:$V$3,0)))</f>
        <v/>
      </c>
      <c r="Q10" s="7" t="str">
        <f t="shared" si="6"/>
        <v/>
      </c>
      <c r="S10" s="7">
        <f t="shared" si="7"/>
        <v>20</v>
      </c>
      <c r="U10" s="7">
        <f t="shared" si="8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>ROUND(85*Y10/100,0)</f>
        <v>7</v>
      </c>
      <c r="AA10" s="7">
        <f>ROUND($W$13*Y10/100,0)</f>
        <v>5</v>
      </c>
    </row>
    <row r="11" spans="1:21">
      <c r="A11" s="7">
        <v>10</v>
      </c>
      <c r="B11" s="7">
        <v>680</v>
      </c>
      <c r="C11" s="7">
        <f t="shared" si="0"/>
        <v>19</v>
      </c>
      <c r="D11" s="7">
        <v>6</v>
      </c>
      <c r="E11" s="7">
        <f t="shared" si="1"/>
        <v>5</v>
      </c>
      <c r="F11" s="7">
        <f t="shared" si="2"/>
        <v>15</v>
      </c>
      <c r="G11" s="7">
        <f t="shared" si="3"/>
        <v>37.5</v>
      </c>
      <c r="H11" s="7">
        <v>3</v>
      </c>
      <c r="I11" s="7">
        <f t="shared" si="9"/>
        <v>101</v>
      </c>
      <c r="J11" s="7">
        <v>10</v>
      </c>
      <c r="K11" s="7">
        <f t="shared" si="4"/>
        <v>106</v>
      </c>
      <c r="L11" s="7">
        <f t="shared" si="5"/>
        <v>1</v>
      </c>
      <c r="N11" s="7">
        <f t="shared" si="10"/>
        <v>101</v>
      </c>
      <c r="O11" s="7">
        <v>10</v>
      </c>
      <c r="P11" s="7">
        <f>IF(H11=1,"",INDEX($X$1:$X$3,MATCH(H11,$V$1:$V$3,0)))</f>
        <v>106</v>
      </c>
      <c r="Q11" s="7">
        <f t="shared" si="6"/>
        <v>1</v>
      </c>
      <c r="S11" s="7">
        <f t="shared" si="7"/>
        <v>22</v>
      </c>
      <c r="U11" s="7">
        <f t="shared" si="8"/>
        <v>26</v>
      </c>
    </row>
    <row r="12" spans="1:23">
      <c r="A12" s="7">
        <v>11</v>
      </c>
      <c r="B12" s="7">
        <v>740</v>
      </c>
      <c r="C12" s="7">
        <f t="shared" si="0"/>
        <v>21</v>
      </c>
      <c r="D12" s="7">
        <v>5</v>
      </c>
      <c r="F12" s="7">
        <f t="shared" si="2"/>
        <v>17</v>
      </c>
      <c r="G12" s="7">
        <f>($G$15-$G$11)/4+G11</f>
        <v>44.325</v>
      </c>
      <c r="H12" s="7">
        <v>1</v>
      </c>
      <c r="I12" s="7">
        <f t="shared" si="9"/>
        <v>101</v>
      </c>
      <c r="J12" s="7">
        <v>15</v>
      </c>
      <c r="K12" s="7" t="str">
        <f t="shared" si="4"/>
        <v/>
      </c>
      <c r="L12" s="7" t="str">
        <f t="shared" si="5"/>
        <v/>
      </c>
      <c r="N12" s="7">
        <f t="shared" si="10"/>
        <v>101</v>
      </c>
      <c r="O12" s="7">
        <v>15</v>
      </c>
      <c r="P12" s="7" t="str">
        <f t="shared" ref="P12:P31" si="11">IF(H12=1,"",INDEX($X$1:$X$3,MATCH(H12,$V$1:$V$3,0)))</f>
        <v/>
      </c>
      <c r="Q12" s="7" t="str">
        <f t="shared" si="6"/>
        <v/>
      </c>
      <c r="S12" s="7">
        <f t="shared" si="7"/>
        <v>30</v>
      </c>
      <c r="U12" s="7">
        <f t="shared" si="8"/>
        <v>30</v>
      </c>
      <c r="V12" s="7" t="s">
        <v>587</v>
      </c>
      <c r="W12" s="4">
        <v>85</v>
      </c>
    </row>
    <row r="13" spans="1:23">
      <c r="A13" s="7">
        <v>12</v>
      </c>
      <c r="B13" s="7">
        <v>800</v>
      </c>
      <c r="C13" s="7">
        <f t="shared" si="0"/>
        <v>22</v>
      </c>
      <c r="D13" s="7">
        <v>8</v>
      </c>
      <c r="F13" s="7">
        <f t="shared" si="2"/>
        <v>18</v>
      </c>
      <c r="G13" s="7">
        <f>($G$15-$G$11)/4+G12</f>
        <v>51.15</v>
      </c>
      <c r="H13" s="7">
        <v>1</v>
      </c>
      <c r="I13" s="7">
        <f t="shared" si="9"/>
        <v>101</v>
      </c>
      <c r="J13" s="7">
        <v>15</v>
      </c>
      <c r="K13" s="7" t="str">
        <f t="shared" si="4"/>
        <v/>
      </c>
      <c r="L13" s="7" t="str">
        <f t="shared" si="5"/>
        <v/>
      </c>
      <c r="N13" s="7">
        <f t="shared" si="10"/>
        <v>101</v>
      </c>
      <c r="O13" s="7">
        <v>15</v>
      </c>
      <c r="P13" s="7" t="str">
        <f t="shared" si="11"/>
        <v/>
      </c>
      <c r="Q13" s="7" t="str">
        <f t="shared" si="6"/>
        <v/>
      </c>
      <c r="S13" s="7">
        <f t="shared" si="7"/>
        <v>30</v>
      </c>
      <c r="U13" s="7">
        <f t="shared" si="8"/>
        <v>30</v>
      </c>
      <c r="V13" s="7" t="s">
        <v>588</v>
      </c>
      <c r="W13" s="4">
        <v>60</v>
      </c>
    </row>
    <row r="14" spans="1:21">
      <c r="A14" s="7">
        <v>13</v>
      </c>
      <c r="B14" s="7">
        <v>860</v>
      </c>
      <c r="C14" s="7">
        <f t="shared" si="0"/>
        <v>24</v>
      </c>
      <c r="D14" s="7">
        <v>9</v>
      </c>
      <c r="F14" s="7">
        <f t="shared" si="2"/>
        <v>19</v>
      </c>
      <c r="G14" s="7">
        <f>($G$15-$G$11)/4+G13</f>
        <v>57.975</v>
      </c>
      <c r="H14" s="7">
        <v>1</v>
      </c>
      <c r="I14" s="7">
        <f t="shared" si="9"/>
        <v>101</v>
      </c>
      <c r="J14" s="7">
        <v>15</v>
      </c>
      <c r="K14" s="7" t="str">
        <f t="shared" si="4"/>
        <v/>
      </c>
      <c r="L14" s="7" t="str">
        <f t="shared" si="5"/>
        <v/>
      </c>
      <c r="N14" s="7">
        <f t="shared" si="10"/>
        <v>101</v>
      </c>
      <c r="O14" s="7">
        <v>15</v>
      </c>
      <c r="P14" s="7" t="str">
        <f t="shared" si="11"/>
        <v/>
      </c>
      <c r="Q14" s="7" t="str">
        <f t="shared" si="6"/>
        <v/>
      </c>
      <c r="S14" s="7">
        <f t="shared" si="7"/>
        <v>30</v>
      </c>
      <c r="U14" s="7">
        <f t="shared" si="8"/>
        <v>30</v>
      </c>
    </row>
    <row r="15" spans="1:21">
      <c r="A15" s="7">
        <v>14</v>
      </c>
      <c r="B15" s="7">
        <v>920</v>
      </c>
      <c r="C15" s="7">
        <f t="shared" si="0"/>
        <v>26</v>
      </c>
      <c r="D15" s="7">
        <v>10</v>
      </c>
      <c r="F15" s="7">
        <f t="shared" si="2"/>
        <v>21</v>
      </c>
      <c r="G15" s="7">
        <f>G31*0.2</f>
        <v>64.8</v>
      </c>
      <c r="H15" s="7">
        <v>1</v>
      </c>
      <c r="I15" s="7">
        <f t="shared" si="9"/>
        <v>101</v>
      </c>
      <c r="J15" s="7">
        <v>15</v>
      </c>
      <c r="K15" s="7" t="str">
        <f t="shared" si="4"/>
        <v/>
      </c>
      <c r="L15" s="7" t="str">
        <f t="shared" si="5"/>
        <v/>
      </c>
      <c r="N15" s="7">
        <f t="shared" si="10"/>
        <v>101</v>
      </c>
      <c r="O15" s="7">
        <v>15</v>
      </c>
      <c r="P15" s="7" t="str">
        <f t="shared" si="11"/>
        <v/>
      </c>
      <c r="Q15" s="7" t="str">
        <f t="shared" si="6"/>
        <v/>
      </c>
      <c r="S15" s="7">
        <f t="shared" si="7"/>
        <v>30</v>
      </c>
      <c r="U15" s="7">
        <f t="shared" si="8"/>
        <v>30</v>
      </c>
    </row>
    <row r="16" spans="1:21">
      <c r="A16" s="7">
        <v>15</v>
      </c>
      <c r="B16" s="7">
        <v>1000</v>
      </c>
      <c r="C16" s="7">
        <f t="shared" si="0"/>
        <v>28</v>
      </c>
      <c r="D16" s="7">
        <v>11</v>
      </c>
      <c r="F16" s="7">
        <f t="shared" si="2"/>
        <v>22</v>
      </c>
      <c r="G16" s="7">
        <f>($G$20-$G$15)/5+G15</f>
        <v>77.76</v>
      </c>
      <c r="H16" s="7">
        <v>2</v>
      </c>
      <c r="I16" s="7">
        <f t="shared" si="9"/>
        <v>101</v>
      </c>
      <c r="J16" s="7">
        <v>10</v>
      </c>
      <c r="K16" s="7">
        <f t="shared" si="4"/>
        <v>105</v>
      </c>
      <c r="L16" s="7">
        <f t="shared" si="5"/>
        <v>5</v>
      </c>
      <c r="N16" s="7">
        <f t="shared" si="10"/>
        <v>101</v>
      </c>
      <c r="O16" s="7">
        <v>10</v>
      </c>
      <c r="P16" s="7">
        <f t="shared" si="11"/>
        <v>105</v>
      </c>
      <c r="Q16" s="7">
        <f t="shared" si="6"/>
        <v>5</v>
      </c>
      <c r="S16" s="7">
        <f t="shared" si="7"/>
        <v>30</v>
      </c>
      <c r="U16" s="7">
        <f t="shared" si="8"/>
        <v>30</v>
      </c>
    </row>
    <row r="17" spans="1:21">
      <c r="A17" s="7">
        <v>16</v>
      </c>
      <c r="B17" s="7">
        <v>1060</v>
      </c>
      <c r="C17" s="7">
        <f t="shared" si="0"/>
        <v>30</v>
      </c>
      <c r="D17" s="7">
        <v>12</v>
      </c>
      <c r="F17" s="7">
        <f t="shared" si="2"/>
        <v>24</v>
      </c>
      <c r="G17" s="7">
        <f>($G$20-$G$15)/5+G16</f>
        <v>90.72</v>
      </c>
      <c r="H17" s="7">
        <v>1</v>
      </c>
      <c r="I17" s="7">
        <f t="shared" si="9"/>
        <v>101</v>
      </c>
      <c r="J17" s="7">
        <v>15</v>
      </c>
      <c r="K17" s="7" t="str">
        <f t="shared" si="4"/>
        <v/>
      </c>
      <c r="L17" s="7" t="str">
        <f t="shared" si="5"/>
        <v/>
      </c>
      <c r="N17" s="7">
        <f t="shared" si="10"/>
        <v>101</v>
      </c>
      <c r="O17" s="7">
        <v>15</v>
      </c>
      <c r="P17" s="7" t="str">
        <f t="shared" si="11"/>
        <v/>
      </c>
      <c r="Q17" s="7" t="str">
        <f t="shared" si="6"/>
        <v/>
      </c>
      <c r="S17" s="7">
        <f t="shared" si="7"/>
        <v>30</v>
      </c>
      <c r="U17" s="7">
        <f t="shared" si="8"/>
        <v>30</v>
      </c>
    </row>
    <row r="18" spans="1:21">
      <c r="A18" s="7">
        <v>17</v>
      </c>
      <c r="B18" s="7">
        <v>1120</v>
      </c>
      <c r="C18" s="7">
        <f t="shared" si="0"/>
        <v>32</v>
      </c>
      <c r="D18" s="7">
        <v>13</v>
      </c>
      <c r="F18" s="7">
        <f t="shared" si="2"/>
        <v>26</v>
      </c>
      <c r="G18" s="7">
        <f>($G$20-$G$15)/5+G17</f>
        <v>103.68</v>
      </c>
      <c r="H18" s="7">
        <v>1</v>
      </c>
      <c r="I18" s="7">
        <f t="shared" si="9"/>
        <v>101</v>
      </c>
      <c r="J18" s="7">
        <v>15</v>
      </c>
      <c r="K18" s="7" t="str">
        <f t="shared" si="4"/>
        <v/>
      </c>
      <c r="L18" s="7" t="str">
        <f t="shared" si="5"/>
        <v/>
      </c>
      <c r="N18" s="7">
        <f t="shared" si="10"/>
        <v>101</v>
      </c>
      <c r="O18" s="7">
        <v>15</v>
      </c>
      <c r="P18" s="7" t="str">
        <f t="shared" si="11"/>
        <v/>
      </c>
      <c r="Q18" s="7" t="str">
        <f t="shared" si="6"/>
        <v/>
      </c>
      <c r="S18" s="7">
        <f t="shared" si="7"/>
        <v>30</v>
      </c>
      <c r="U18" s="7">
        <f t="shared" si="8"/>
        <v>30</v>
      </c>
    </row>
    <row r="19" spans="1:21">
      <c r="A19" s="7">
        <v>18</v>
      </c>
      <c r="B19" s="7">
        <v>1180</v>
      </c>
      <c r="C19" s="7">
        <f t="shared" si="0"/>
        <v>33</v>
      </c>
      <c r="D19" s="7">
        <v>14</v>
      </c>
      <c r="F19" s="7">
        <f t="shared" si="2"/>
        <v>26</v>
      </c>
      <c r="G19" s="7">
        <f>($G$20-$G$15)/5+G18</f>
        <v>116.64</v>
      </c>
      <c r="H19" s="7">
        <v>1</v>
      </c>
      <c r="I19" s="7">
        <f t="shared" si="9"/>
        <v>101</v>
      </c>
      <c r="J19" s="7">
        <v>15</v>
      </c>
      <c r="K19" s="7" t="str">
        <f t="shared" si="4"/>
        <v/>
      </c>
      <c r="L19" s="7" t="str">
        <f t="shared" si="5"/>
        <v/>
      </c>
      <c r="N19" s="7">
        <f t="shared" si="10"/>
        <v>101</v>
      </c>
      <c r="O19" s="7">
        <v>15</v>
      </c>
      <c r="P19" s="7" t="str">
        <f t="shared" si="11"/>
        <v/>
      </c>
      <c r="Q19" s="7" t="str">
        <f t="shared" si="6"/>
        <v/>
      </c>
      <c r="S19" s="7">
        <f t="shared" si="7"/>
        <v>30</v>
      </c>
      <c r="U19" s="7">
        <f t="shared" si="8"/>
        <v>30</v>
      </c>
    </row>
    <row r="20" spans="1:21">
      <c r="A20" s="7">
        <v>19</v>
      </c>
      <c r="B20" s="7">
        <v>1240</v>
      </c>
      <c r="C20" s="7">
        <f t="shared" si="0"/>
        <v>35</v>
      </c>
      <c r="D20" s="7">
        <v>15</v>
      </c>
      <c r="F20" s="7">
        <f t="shared" si="2"/>
        <v>28</v>
      </c>
      <c r="G20" s="7">
        <f>G31*0.4</f>
        <v>129.6</v>
      </c>
      <c r="H20" s="7">
        <v>1</v>
      </c>
      <c r="I20" s="7">
        <f t="shared" si="9"/>
        <v>101</v>
      </c>
      <c r="J20" s="7">
        <v>15</v>
      </c>
      <c r="K20" s="7" t="str">
        <f t="shared" si="4"/>
        <v/>
      </c>
      <c r="L20" s="7" t="str">
        <f t="shared" si="5"/>
        <v/>
      </c>
      <c r="N20" s="7">
        <f t="shared" si="10"/>
        <v>101</v>
      </c>
      <c r="O20" s="7">
        <v>15</v>
      </c>
      <c r="P20" s="7" t="str">
        <f t="shared" si="11"/>
        <v/>
      </c>
      <c r="Q20" s="7" t="str">
        <f t="shared" si="6"/>
        <v/>
      </c>
      <c r="S20" s="7">
        <f t="shared" si="7"/>
        <v>30</v>
      </c>
      <c r="U20" s="7">
        <f t="shared" si="8"/>
        <v>30</v>
      </c>
    </row>
    <row r="21" spans="1:21">
      <c r="A21" s="7">
        <v>20</v>
      </c>
      <c r="B21" s="7">
        <v>1320</v>
      </c>
      <c r="C21" s="7">
        <f t="shared" si="0"/>
        <v>37</v>
      </c>
      <c r="D21" s="7">
        <v>16</v>
      </c>
      <c r="F21" s="7">
        <f t="shared" si="2"/>
        <v>30</v>
      </c>
      <c r="G21" s="7">
        <f>($G$25-$G$20)/5+G20</f>
        <v>142.56</v>
      </c>
      <c r="H21" s="7">
        <v>3</v>
      </c>
      <c r="I21" s="7">
        <f t="shared" si="9"/>
        <v>101</v>
      </c>
      <c r="J21" s="7">
        <v>15</v>
      </c>
      <c r="K21" s="7">
        <f t="shared" si="4"/>
        <v>106</v>
      </c>
      <c r="L21" s="7">
        <f t="shared" si="5"/>
        <v>1</v>
      </c>
      <c r="N21" s="7">
        <f t="shared" si="10"/>
        <v>101</v>
      </c>
      <c r="O21" s="7">
        <v>15</v>
      </c>
      <c r="P21" s="7">
        <f t="shared" si="11"/>
        <v>106</v>
      </c>
      <c r="Q21" s="7">
        <f t="shared" si="6"/>
        <v>1</v>
      </c>
      <c r="S21" s="7">
        <f t="shared" si="7"/>
        <v>32</v>
      </c>
      <c r="U21" s="7">
        <f t="shared" si="8"/>
        <v>31</v>
      </c>
    </row>
    <row r="22" spans="1:21">
      <c r="A22" s="7">
        <v>21</v>
      </c>
      <c r="B22" s="7">
        <v>1380</v>
      </c>
      <c r="C22" s="7">
        <f t="shared" si="0"/>
        <v>39</v>
      </c>
      <c r="D22" s="7">
        <v>17</v>
      </c>
      <c r="F22" s="7">
        <f t="shared" si="2"/>
        <v>31</v>
      </c>
      <c r="G22" s="7">
        <f>($G$25-$G$20)/5+G21</f>
        <v>155.52</v>
      </c>
      <c r="H22" s="7">
        <v>1</v>
      </c>
      <c r="I22" s="7">
        <f t="shared" si="9"/>
        <v>101</v>
      </c>
      <c r="J22" s="7">
        <v>20</v>
      </c>
      <c r="K22" s="7" t="str">
        <f t="shared" si="4"/>
        <v/>
      </c>
      <c r="L22" s="7" t="str">
        <f t="shared" si="5"/>
        <v/>
      </c>
      <c r="N22" s="7">
        <f t="shared" si="10"/>
        <v>101</v>
      </c>
      <c r="O22" s="7">
        <v>20</v>
      </c>
      <c r="P22" s="7" t="str">
        <f t="shared" si="11"/>
        <v/>
      </c>
      <c r="Q22" s="7" t="str">
        <f t="shared" si="6"/>
        <v/>
      </c>
      <c r="S22" s="7">
        <f t="shared" si="7"/>
        <v>40</v>
      </c>
      <c r="U22" s="7">
        <f t="shared" si="8"/>
        <v>35</v>
      </c>
    </row>
    <row r="23" spans="1:21">
      <c r="A23" s="7">
        <v>22</v>
      </c>
      <c r="B23" s="7">
        <v>1440</v>
      </c>
      <c r="C23" s="7">
        <f t="shared" si="0"/>
        <v>41</v>
      </c>
      <c r="D23" s="7">
        <v>20</v>
      </c>
      <c r="F23" s="7">
        <f t="shared" si="2"/>
        <v>33</v>
      </c>
      <c r="G23" s="7">
        <f>($G$25-$G$20)/5+G22</f>
        <v>168.48</v>
      </c>
      <c r="H23" s="7">
        <v>1</v>
      </c>
      <c r="I23" s="7">
        <f t="shared" si="9"/>
        <v>101</v>
      </c>
      <c r="J23" s="7">
        <v>20</v>
      </c>
      <c r="K23" s="7" t="str">
        <f t="shared" si="4"/>
        <v/>
      </c>
      <c r="L23" s="7" t="str">
        <f t="shared" si="5"/>
        <v/>
      </c>
      <c r="N23" s="7">
        <f t="shared" si="10"/>
        <v>101</v>
      </c>
      <c r="O23" s="7">
        <v>20</v>
      </c>
      <c r="P23" s="7" t="str">
        <f t="shared" si="11"/>
        <v/>
      </c>
      <c r="Q23" s="7" t="str">
        <f t="shared" si="6"/>
        <v/>
      </c>
      <c r="S23" s="7">
        <f t="shared" si="7"/>
        <v>40</v>
      </c>
      <c r="U23" s="7">
        <f t="shared" si="8"/>
        <v>35</v>
      </c>
    </row>
    <row r="24" spans="1:21">
      <c r="A24" s="7">
        <v>23</v>
      </c>
      <c r="B24" s="7">
        <v>1500</v>
      </c>
      <c r="C24" s="7">
        <f t="shared" si="0"/>
        <v>42</v>
      </c>
      <c r="D24" s="7">
        <v>21</v>
      </c>
      <c r="F24" s="7">
        <f t="shared" si="2"/>
        <v>34</v>
      </c>
      <c r="G24" s="7">
        <f>($G$25-$G$20)/5+G23</f>
        <v>181.44</v>
      </c>
      <c r="H24" s="7">
        <v>1</v>
      </c>
      <c r="I24" s="7">
        <f t="shared" si="9"/>
        <v>101</v>
      </c>
      <c r="J24" s="7">
        <v>20</v>
      </c>
      <c r="K24" s="7" t="str">
        <f t="shared" si="4"/>
        <v/>
      </c>
      <c r="L24" s="7" t="str">
        <f t="shared" si="5"/>
        <v/>
      </c>
      <c r="N24" s="7">
        <f t="shared" si="10"/>
        <v>101</v>
      </c>
      <c r="O24" s="7">
        <v>20</v>
      </c>
      <c r="P24" s="7" t="str">
        <f t="shared" si="11"/>
        <v/>
      </c>
      <c r="Q24" s="7" t="str">
        <f t="shared" si="6"/>
        <v/>
      </c>
      <c r="S24" s="7">
        <f t="shared" si="7"/>
        <v>40</v>
      </c>
      <c r="U24" s="7">
        <f t="shared" si="8"/>
        <v>35</v>
      </c>
    </row>
    <row r="25" spans="1:21">
      <c r="A25" s="7">
        <v>24</v>
      </c>
      <c r="B25" s="7">
        <v>1560</v>
      </c>
      <c r="C25" s="7">
        <f t="shared" si="0"/>
        <v>44</v>
      </c>
      <c r="D25" s="7">
        <v>22</v>
      </c>
      <c r="F25" s="7">
        <f t="shared" si="2"/>
        <v>35</v>
      </c>
      <c r="G25" s="7">
        <f>G31*0.6</f>
        <v>194.4</v>
      </c>
      <c r="H25" s="7">
        <v>1</v>
      </c>
      <c r="I25" s="7">
        <f t="shared" si="9"/>
        <v>101</v>
      </c>
      <c r="J25" s="7">
        <v>20</v>
      </c>
      <c r="K25" s="7" t="str">
        <f t="shared" si="4"/>
        <v/>
      </c>
      <c r="L25" s="7" t="str">
        <f t="shared" si="5"/>
        <v/>
      </c>
      <c r="N25" s="7">
        <f t="shared" si="10"/>
        <v>101</v>
      </c>
      <c r="O25" s="7">
        <v>20</v>
      </c>
      <c r="P25" s="7" t="str">
        <f t="shared" si="11"/>
        <v/>
      </c>
      <c r="Q25" s="7" t="str">
        <f t="shared" si="6"/>
        <v/>
      </c>
      <c r="S25" s="7">
        <f t="shared" si="7"/>
        <v>40</v>
      </c>
      <c r="U25" s="7">
        <f t="shared" si="8"/>
        <v>35</v>
      </c>
    </row>
    <row r="26" spans="1:21">
      <c r="A26" s="7">
        <v>25</v>
      </c>
      <c r="B26" s="7">
        <v>1640</v>
      </c>
      <c r="C26" s="7">
        <f t="shared" si="0"/>
        <v>46</v>
      </c>
      <c r="D26" s="7">
        <v>23</v>
      </c>
      <c r="F26" s="7">
        <f t="shared" si="2"/>
        <v>37</v>
      </c>
      <c r="G26" s="7">
        <f>($G$30-$G$25)/5+G25</f>
        <v>210.6</v>
      </c>
      <c r="H26" s="7">
        <v>2</v>
      </c>
      <c r="I26" s="7">
        <f t="shared" si="9"/>
        <v>101</v>
      </c>
      <c r="J26" s="7">
        <v>15</v>
      </c>
      <c r="K26" s="7">
        <f t="shared" si="4"/>
        <v>105</v>
      </c>
      <c r="L26" s="7">
        <f t="shared" si="5"/>
        <v>5</v>
      </c>
      <c r="N26" s="7">
        <f t="shared" si="10"/>
        <v>101</v>
      </c>
      <c r="O26" s="7">
        <v>15</v>
      </c>
      <c r="P26" s="7">
        <f t="shared" si="11"/>
        <v>105</v>
      </c>
      <c r="Q26" s="7">
        <f t="shared" si="6"/>
        <v>5</v>
      </c>
      <c r="S26" s="7">
        <f t="shared" si="7"/>
        <v>40</v>
      </c>
      <c r="U26" s="7">
        <f t="shared" si="8"/>
        <v>35</v>
      </c>
    </row>
    <row r="27" spans="1:21">
      <c r="A27" s="7">
        <v>26</v>
      </c>
      <c r="B27" s="7">
        <v>1700</v>
      </c>
      <c r="C27" s="7">
        <f t="shared" si="0"/>
        <v>48</v>
      </c>
      <c r="D27" s="7">
        <v>24</v>
      </c>
      <c r="F27" s="7">
        <f t="shared" si="2"/>
        <v>38</v>
      </c>
      <c r="G27" s="7">
        <f>($G$30-$G$25)/5+G26</f>
        <v>226.8</v>
      </c>
      <c r="H27" s="7">
        <v>1</v>
      </c>
      <c r="I27" s="7">
        <f t="shared" si="9"/>
        <v>101</v>
      </c>
      <c r="J27" s="7">
        <v>20</v>
      </c>
      <c r="K27" s="7" t="str">
        <f t="shared" si="4"/>
        <v/>
      </c>
      <c r="L27" s="7" t="str">
        <f t="shared" si="5"/>
        <v/>
      </c>
      <c r="N27" s="7">
        <f t="shared" si="10"/>
        <v>101</v>
      </c>
      <c r="O27" s="7">
        <v>20</v>
      </c>
      <c r="P27" s="7" t="str">
        <f t="shared" si="11"/>
        <v/>
      </c>
      <c r="Q27" s="7" t="str">
        <f t="shared" si="6"/>
        <v/>
      </c>
      <c r="S27" s="7">
        <f t="shared" si="7"/>
        <v>40</v>
      </c>
      <c r="U27" s="7">
        <f t="shared" si="8"/>
        <v>35</v>
      </c>
    </row>
    <row r="28" spans="1:21">
      <c r="A28" s="7">
        <v>27</v>
      </c>
      <c r="B28" s="7">
        <v>1760</v>
      </c>
      <c r="C28" s="7">
        <f t="shared" si="0"/>
        <v>50</v>
      </c>
      <c r="D28" s="7">
        <v>25</v>
      </c>
      <c r="F28" s="7">
        <f t="shared" si="2"/>
        <v>40</v>
      </c>
      <c r="G28" s="7">
        <f>($G$30-$G$25)/5+G27</f>
        <v>243</v>
      </c>
      <c r="H28" s="7">
        <v>1</v>
      </c>
      <c r="I28" s="7">
        <f t="shared" si="9"/>
        <v>101</v>
      </c>
      <c r="J28" s="7">
        <v>20</v>
      </c>
      <c r="K28" s="7" t="str">
        <f t="shared" si="4"/>
        <v/>
      </c>
      <c r="L28" s="7" t="str">
        <f t="shared" si="5"/>
        <v/>
      </c>
      <c r="N28" s="7">
        <f t="shared" si="10"/>
        <v>101</v>
      </c>
      <c r="O28" s="7">
        <v>20</v>
      </c>
      <c r="P28" s="7" t="str">
        <f t="shared" si="11"/>
        <v/>
      </c>
      <c r="Q28" s="7" t="str">
        <f t="shared" si="6"/>
        <v/>
      </c>
      <c r="S28" s="7">
        <f t="shared" si="7"/>
        <v>40</v>
      </c>
      <c r="U28" s="7">
        <f t="shared" si="8"/>
        <v>35</v>
      </c>
    </row>
    <row r="29" spans="1:21">
      <c r="A29" s="7">
        <v>28</v>
      </c>
      <c r="B29" s="7">
        <v>1820</v>
      </c>
      <c r="C29" s="7">
        <f t="shared" si="0"/>
        <v>52</v>
      </c>
      <c r="D29" s="7">
        <v>26</v>
      </c>
      <c r="F29" s="7">
        <f t="shared" si="2"/>
        <v>42</v>
      </c>
      <c r="G29" s="7">
        <f>($G$30-$G$25)/5+G28</f>
        <v>259.2</v>
      </c>
      <c r="H29" s="7">
        <v>1</v>
      </c>
      <c r="I29" s="7">
        <f t="shared" si="9"/>
        <v>101</v>
      </c>
      <c r="J29" s="7">
        <v>20</v>
      </c>
      <c r="K29" s="7" t="str">
        <f t="shared" si="4"/>
        <v/>
      </c>
      <c r="L29" s="7" t="str">
        <f t="shared" si="5"/>
        <v/>
      </c>
      <c r="N29" s="7">
        <f t="shared" si="10"/>
        <v>101</v>
      </c>
      <c r="O29" s="7">
        <v>20</v>
      </c>
      <c r="P29" s="7" t="str">
        <f t="shared" si="11"/>
        <v/>
      </c>
      <c r="Q29" s="7" t="str">
        <f t="shared" si="6"/>
        <v/>
      </c>
      <c r="S29" s="7">
        <f t="shared" si="7"/>
        <v>40</v>
      </c>
      <c r="U29" s="7">
        <f t="shared" si="8"/>
        <v>35</v>
      </c>
    </row>
    <row r="30" spans="1:21">
      <c r="A30" s="7">
        <v>29</v>
      </c>
      <c r="B30" s="7">
        <v>1880</v>
      </c>
      <c r="C30" s="7">
        <f t="shared" si="0"/>
        <v>53</v>
      </c>
      <c r="D30" s="7">
        <v>27</v>
      </c>
      <c r="F30" s="7">
        <f t="shared" si="2"/>
        <v>42</v>
      </c>
      <c r="G30" s="7">
        <f>G31*0.85</f>
        <v>275.4</v>
      </c>
      <c r="H30" s="7">
        <v>1</v>
      </c>
      <c r="I30" s="7">
        <f t="shared" si="9"/>
        <v>101</v>
      </c>
      <c r="J30" s="7">
        <v>20</v>
      </c>
      <c r="K30" s="7" t="str">
        <f t="shared" si="4"/>
        <v/>
      </c>
      <c r="L30" s="7" t="str">
        <f t="shared" si="5"/>
        <v/>
      </c>
      <c r="N30" s="7">
        <f t="shared" si="10"/>
        <v>101</v>
      </c>
      <c r="O30" s="7">
        <v>20</v>
      </c>
      <c r="P30" s="7" t="str">
        <f t="shared" si="11"/>
        <v/>
      </c>
      <c r="Q30" s="7" t="str">
        <f t="shared" si="6"/>
        <v/>
      </c>
      <c r="S30" s="7">
        <f t="shared" si="7"/>
        <v>40</v>
      </c>
      <c r="U30" s="7">
        <f t="shared" si="8"/>
        <v>35</v>
      </c>
    </row>
    <row r="31" spans="1:21">
      <c r="A31" s="7">
        <v>30</v>
      </c>
      <c r="B31" s="7">
        <v>1960</v>
      </c>
      <c r="C31" s="7">
        <f t="shared" si="0"/>
        <v>56</v>
      </c>
      <c r="D31" s="7">
        <v>28</v>
      </c>
      <c r="E31" s="7">
        <f>G31/F31*3</f>
        <v>21.6</v>
      </c>
      <c r="F31" s="7">
        <f t="shared" si="2"/>
        <v>45</v>
      </c>
      <c r="G31" s="7">
        <v>324</v>
      </c>
      <c r="H31" s="7">
        <v>3</v>
      </c>
      <c r="I31" s="7">
        <f t="shared" si="9"/>
        <v>101</v>
      </c>
      <c r="J31" s="7">
        <v>20</v>
      </c>
      <c r="K31" s="7">
        <f t="shared" si="4"/>
        <v>106</v>
      </c>
      <c r="L31" s="7">
        <f t="shared" si="5"/>
        <v>1</v>
      </c>
      <c r="N31" s="7">
        <f t="shared" si="10"/>
        <v>101</v>
      </c>
      <c r="O31" s="7">
        <v>20</v>
      </c>
      <c r="P31" s="7">
        <f t="shared" si="11"/>
        <v>106</v>
      </c>
      <c r="Q31" s="7">
        <f t="shared" si="6"/>
        <v>1</v>
      </c>
      <c r="S31" s="7">
        <f t="shared" si="7"/>
        <v>42</v>
      </c>
      <c r="U31" s="7">
        <f t="shared" si="8"/>
        <v>36</v>
      </c>
    </row>
    <row r="32" spans="2:21">
      <c r="B32" s="7">
        <v>2020</v>
      </c>
      <c r="C32" s="7">
        <f t="shared" si="0"/>
        <v>57</v>
      </c>
      <c r="F32" s="7">
        <f t="shared" si="2"/>
        <v>46</v>
      </c>
      <c r="U32" s="7">
        <f>SUM(U2:U31)</f>
        <v>903</v>
      </c>
    </row>
    <row r="33" spans="2:6">
      <c r="B33" s="7">
        <f>B32+960</f>
        <v>2980</v>
      </c>
      <c r="C33" s="7">
        <f>B33/X6</f>
        <v>85.1428571428571</v>
      </c>
      <c r="F33" s="7">
        <f t="shared" si="2"/>
        <v>68</v>
      </c>
    </row>
    <row r="38" spans="1:2">
      <c r="A38" s="7" t="s">
        <v>351</v>
      </c>
      <c r="B38" s="7" t="s">
        <v>565</v>
      </c>
    </row>
    <row r="39" spans="1:9">
      <c r="A39" s="7">
        <v>0</v>
      </c>
      <c r="B39" s="7">
        <v>1</v>
      </c>
      <c r="H39" s="7" t="s">
        <v>311</v>
      </c>
      <c r="I39" s="7" t="s">
        <v>589</v>
      </c>
    </row>
    <row r="40" spans="1:18">
      <c r="A40" s="7">
        <v>1</v>
      </c>
      <c r="B40" s="7">
        <v>1.5</v>
      </c>
      <c r="H40" s="7">
        <v>1</v>
      </c>
      <c r="I40" s="7" t="str">
        <f t="shared" ref="I40:N40" si="12">IF(I2="","",_xlfn.TEXTJOIN(",",TRUE,I2:J2))</f>
        <v>101,10</v>
      </c>
      <c r="J40" s="7" t="str">
        <f>IF(I40="","",_xlfn.TEXTJOIN(",",TRUE,I40,H40))</f>
        <v>101,10,1</v>
      </c>
      <c r="K40" s="7" t="str">
        <f t="shared" si="12"/>
        <v/>
      </c>
      <c r="L40" s="7" t="str">
        <f>IF(K40="","",_xlfn.TEXTJOIN(",",TRUE,K40,H40))</f>
        <v/>
      </c>
      <c r="M40" s="7" t="str">
        <f>_xlfn.TEXTJOIN(";",TRUE,J40,L40)</f>
        <v>101,10,1</v>
      </c>
      <c r="N40" s="7" t="str">
        <f t="shared" si="12"/>
        <v>101,10</v>
      </c>
      <c r="O40" s="7" t="str">
        <f>IF(N40="","",N40&amp;","&amp;H40)</f>
        <v>101,10,1</v>
      </c>
      <c r="P40" s="7" t="str">
        <f>IF(P2="","",P2&amp;","&amp;Q2)</f>
        <v/>
      </c>
      <c r="Q40" s="7" t="str">
        <f>IF(P40="","",P40&amp;","&amp;H40)</f>
        <v/>
      </c>
      <c r="R40" s="7" t="str">
        <f>_xlfn.TEXTJOIN(";",TRUE,O40,Q40)</f>
        <v>101,10,1</v>
      </c>
    </row>
    <row r="41" spans="1:18">
      <c r="A41" s="7">
        <v>2</v>
      </c>
      <c r="B41" s="7">
        <v>2.25</v>
      </c>
      <c r="H41" s="7">
        <v>2</v>
      </c>
      <c r="I41" s="7" t="str">
        <f t="shared" ref="I41:I69" si="13">IF(I3="","",_xlfn.TEXTJOIN(",",TRUE,I3:J3))</f>
        <v>101,10</v>
      </c>
      <c r="J41" s="7" t="str">
        <f t="shared" ref="J41:J69" si="14">IF(I41="","",_xlfn.TEXTJOIN(",",TRUE,I41,H41))</f>
        <v>101,10,2</v>
      </c>
      <c r="K41" s="7" t="str">
        <f t="shared" ref="K41:K69" si="15">IF(K3="","",_xlfn.TEXTJOIN(",",TRUE,K3:L3))</f>
        <v/>
      </c>
      <c r="L41" s="7" t="str">
        <f t="shared" ref="L41:L69" si="16">IF(K41="","",_xlfn.TEXTJOIN(",",TRUE,K41,H41))</f>
        <v/>
      </c>
      <c r="M41" s="7" t="str">
        <f t="shared" ref="M41:M69" si="17">_xlfn.TEXTJOIN(";",TRUE,J41,L41)</f>
        <v>101,10,2</v>
      </c>
      <c r="N41" s="7" t="str">
        <f t="shared" ref="N41:N69" si="18">IF(N3="","",_xlfn.TEXTJOIN(",",TRUE,N3:O3))</f>
        <v>101,10</v>
      </c>
      <c r="O41" s="7" t="str">
        <f t="shared" ref="O41:O69" si="19">IF(N41="","",N41&amp;","&amp;H41)</f>
        <v>101,10,2</v>
      </c>
      <c r="P41" s="7" t="str">
        <f t="shared" ref="P41:P69" si="20">IF(P3="","",P3&amp;","&amp;Q3)</f>
        <v/>
      </c>
      <c r="Q41" s="7" t="str">
        <f t="shared" ref="Q41:Q69" si="21">IF(P41="","",P41&amp;","&amp;H41)</f>
        <v/>
      </c>
      <c r="R41" s="7" t="str">
        <f t="shared" ref="R41:R69" si="22">_xlfn.TEXTJOIN(";",TRUE,O41,Q41)</f>
        <v>101,10,2</v>
      </c>
    </row>
    <row r="42" spans="1:18">
      <c r="A42" s="7">
        <v>3</v>
      </c>
      <c r="B42" s="7">
        <v>3</v>
      </c>
      <c r="H42" s="7">
        <v>3</v>
      </c>
      <c r="I42" s="7" t="str">
        <f t="shared" si="13"/>
        <v>101,10</v>
      </c>
      <c r="J42" s="7" t="str">
        <f t="shared" si="14"/>
        <v>101,10,3</v>
      </c>
      <c r="K42" s="7" t="str">
        <f t="shared" si="15"/>
        <v/>
      </c>
      <c r="L42" s="7" t="str">
        <f t="shared" si="16"/>
        <v/>
      </c>
      <c r="M42" s="7" t="str">
        <f t="shared" si="17"/>
        <v>101,10,3</v>
      </c>
      <c r="N42" s="7" t="str">
        <f t="shared" si="18"/>
        <v>101,10</v>
      </c>
      <c r="O42" s="7" t="str">
        <f t="shared" si="19"/>
        <v>101,10,3</v>
      </c>
      <c r="P42" s="7" t="str">
        <f t="shared" si="20"/>
        <v/>
      </c>
      <c r="Q42" s="7" t="str">
        <f t="shared" si="21"/>
        <v/>
      </c>
      <c r="R42" s="7" t="str">
        <f t="shared" si="22"/>
        <v>101,10,3</v>
      </c>
    </row>
    <row r="43" spans="1:18">
      <c r="A43" s="7">
        <v>4</v>
      </c>
      <c r="B43" s="7">
        <f>1.5*2.5</f>
        <v>3.75</v>
      </c>
      <c r="H43" s="7">
        <v>4</v>
      </c>
      <c r="I43" s="7" t="str">
        <f t="shared" si="13"/>
        <v>101,10</v>
      </c>
      <c r="J43" s="7" t="str">
        <f t="shared" si="14"/>
        <v>101,10,4</v>
      </c>
      <c r="K43" s="7" t="str">
        <f t="shared" si="15"/>
        <v/>
      </c>
      <c r="L43" s="7" t="str">
        <f t="shared" si="16"/>
        <v/>
      </c>
      <c r="M43" s="7" t="str">
        <f t="shared" si="17"/>
        <v>101,10,4</v>
      </c>
      <c r="N43" s="7" t="str">
        <f t="shared" si="18"/>
        <v>101,10</v>
      </c>
      <c r="O43" s="7" t="str">
        <f t="shared" si="19"/>
        <v>101,10,4</v>
      </c>
      <c r="P43" s="7" t="str">
        <f t="shared" si="20"/>
        <v/>
      </c>
      <c r="Q43" s="7" t="str">
        <f t="shared" si="21"/>
        <v/>
      </c>
      <c r="R43" s="7" t="str">
        <f t="shared" si="22"/>
        <v>101,10,4</v>
      </c>
    </row>
    <row r="44" spans="1:18">
      <c r="A44" s="7">
        <v>5</v>
      </c>
      <c r="B44" s="7">
        <v>4</v>
      </c>
      <c r="H44" s="7">
        <v>5</v>
      </c>
      <c r="I44" s="7" t="str">
        <f t="shared" si="13"/>
        <v>101,5</v>
      </c>
      <c r="J44" s="7" t="str">
        <f t="shared" si="14"/>
        <v>101,5,5</v>
      </c>
      <c r="K44" s="7" t="str">
        <f t="shared" si="15"/>
        <v>105,5</v>
      </c>
      <c r="L44" s="7" t="str">
        <f t="shared" si="16"/>
        <v>105,5,5</v>
      </c>
      <c r="M44" s="7" t="str">
        <f t="shared" si="17"/>
        <v>101,5,5;105,5,5</v>
      </c>
      <c r="N44" s="7" t="str">
        <f t="shared" si="18"/>
        <v>101,5</v>
      </c>
      <c r="O44" s="7" t="str">
        <f t="shared" si="19"/>
        <v>101,5,5</v>
      </c>
      <c r="P44" s="7" t="str">
        <f t="shared" si="20"/>
        <v>105,5</v>
      </c>
      <c r="Q44" s="7" t="str">
        <f t="shared" si="21"/>
        <v>105,5,5</v>
      </c>
      <c r="R44" s="7" t="str">
        <f t="shared" si="22"/>
        <v>101,5,5;105,5,5</v>
      </c>
    </row>
    <row r="45" spans="1:18">
      <c r="A45" s="7">
        <v>6</v>
      </c>
      <c r="B45" s="7">
        <v>5</v>
      </c>
      <c r="H45" s="7">
        <v>6</v>
      </c>
      <c r="I45" s="7" t="str">
        <f t="shared" si="13"/>
        <v>101,10</v>
      </c>
      <c r="J45" s="7" t="str">
        <f t="shared" si="14"/>
        <v>101,10,6</v>
      </c>
      <c r="K45" s="7" t="str">
        <f t="shared" si="15"/>
        <v/>
      </c>
      <c r="L45" s="7" t="str">
        <f t="shared" si="16"/>
        <v/>
      </c>
      <c r="M45" s="7" t="str">
        <f t="shared" si="17"/>
        <v>101,10,6</v>
      </c>
      <c r="N45" s="7" t="str">
        <f t="shared" si="18"/>
        <v>101,10</v>
      </c>
      <c r="O45" s="7" t="str">
        <f t="shared" si="19"/>
        <v>101,10,6</v>
      </c>
      <c r="P45" s="7" t="str">
        <f t="shared" si="20"/>
        <v/>
      </c>
      <c r="Q45" s="7" t="str">
        <f t="shared" si="21"/>
        <v/>
      </c>
      <c r="R45" s="7" t="str">
        <f t="shared" si="22"/>
        <v>101,10,6</v>
      </c>
    </row>
    <row r="46" spans="1:18">
      <c r="A46" s="7">
        <v>7</v>
      </c>
      <c r="H46" s="7">
        <v>7</v>
      </c>
      <c r="I46" s="7" t="str">
        <f t="shared" si="13"/>
        <v>101,10</v>
      </c>
      <c r="J46" s="7" t="str">
        <f t="shared" si="14"/>
        <v>101,10,7</v>
      </c>
      <c r="K46" s="7" t="str">
        <f t="shared" si="15"/>
        <v/>
      </c>
      <c r="L46" s="7" t="str">
        <f t="shared" si="16"/>
        <v/>
      </c>
      <c r="M46" s="7" t="str">
        <f t="shared" si="17"/>
        <v>101,10,7</v>
      </c>
      <c r="N46" s="7" t="str">
        <f t="shared" si="18"/>
        <v>101,10</v>
      </c>
      <c r="O46" s="7" t="str">
        <f t="shared" si="19"/>
        <v>101,10,7</v>
      </c>
      <c r="P46" s="7" t="str">
        <f t="shared" si="20"/>
        <v/>
      </c>
      <c r="Q46" s="7" t="str">
        <f t="shared" si="21"/>
        <v/>
      </c>
      <c r="R46" s="7" t="str">
        <f t="shared" si="22"/>
        <v>101,10,7</v>
      </c>
    </row>
    <row r="47" spans="1:18">
      <c r="A47" s="7">
        <v>8</v>
      </c>
      <c r="H47" s="7">
        <v>8</v>
      </c>
      <c r="I47" s="7" t="str">
        <f t="shared" si="13"/>
        <v>101,10</v>
      </c>
      <c r="J47" s="7" t="str">
        <f t="shared" si="14"/>
        <v>101,10,8</v>
      </c>
      <c r="K47" s="7" t="str">
        <f t="shared" si="15"/>
        <v/>
      </c>
      <c r="L47" s="7" t="str">
        <f t="shared" si="16"/>
        <v/>
      </c>
      <c r="M47" s="7" t="str">
        <f t="shared" si="17"/>
        <v>101,10,8</v>
      </c>
      <c r="N47" s="7" t="str">
        <f t="shared" si="18"/>
        <v>101,10</v>
      </c>
      <c r="O47" s="7" t="str">
        <f t="shared" si="19"/>
        <v>101,10,8</v>
      </c>
      <c r="P47" s="7" t="str">
        <f t="shared" si="20"/>
        <v/>
      </c>
      <c r="Q47" s="7" t="str">
        <f t="shared" si="21"/>
        <v/>
      </c>
      <c r="R47" s="7" t="str">
        <f t="shared" si="22"/>
        <v>101,10,8</v>
      </c>
    </row>
    <row r="48" spans="1:18">
      <c r="A48" s="7">
        <v>9</v>
      </c>
      <c r="H48" s="7">
        <v>9</v>
      </c>
      <c r="I48" s="7" t="str">
        <f t="shared" si="13"/>
        <v>101,10</v>
      </c>
      <c r="J48" s="7" t="str">
        <f t="shared" si="14"/>
        <v>101,10,9</v>
      </c>
      <c r="K48" s="7" t="str">
        <f t="shared" si="15"/>
        <v/>
      </c>
      <c r="L48" s="7" t="str">
        <f t="shared" si="16"/>
        <v/>
      </c>
      <c r="M48" s="7" t="str">
        <f t="shared" si="17"/>
        <v>101,10,9</v>
      </c>
      <c r="N48" s="7" t="str">
        <f t="shared" si="18"/>
        <v>101,10</v>
      </c>
      <c r="O48" s="7" t="str">
        <f t="shared" si="19"/>
        <v>101,10,9</v>
      </c>
      <c r="P48" s="7" t="str">
        <f t="shared" si="20"/>
        <v/>
      </c>
      <c r="Q48" s="7" t="str">
        <f t="shared" si="21"/>
        <v/>
      </c>
      <c r="R48" s="7" t="str">
        <f t="shared" si="22"/>
        <v>101,10,9</v>
      </c>
    </row>
    <row r="49" spans="1:18">
      <c r="A49" s="7">
        <v>10</v>
      </c>
      <c r="H49" s="7">
        <v>10</v>
      </c>
      <c r="I49" s="7" t="str">
        <f t="shared" si="13"/>
        <v>101,10</v>
      </c>
      <c r="J49" s="7" t="str">
        <f t="shared" si="14"/>
        <v>101,10,10</v>
      </c>
      <c r="K49" s="7" t="str">
        <f t="shared" si="15"/>
        <v>106,1</v>
      </c>
      <c r="L49" s="7" t="str">
        <f t="shared" si="16"/>
        <v>106,1,10</v>
      </c>
      <c r="M49" s="7" t="str">
        <f t="shared" si="17"/>
        <v>101,10,10;106,1,10</v>
      </c>
      <c r="N49" s="7" t="str">
        <f t="shared" si="18"/>
        <v>101,10</v>
      </c>
      <c r="O49" s="7" t="str">
        <f t="shared" si="19"/>
        <v>101,10,10</v>
      </c>
      <c r="P49" s="7" t="str">
        <f t="shared" si="20"/>
        <v>106,1</v>
      </c>
      <c r="Q49" s="7" t="str">
        <f t="shared" si="21"/>
        <v>106,1,10</v>
      </c>
      <c r="R49" s="7" t="str">
        <f t="shared" si="22"/>
        <v>101,10,10;106,1,10</v>
      </c>
    </row>
    <row r="50" spans="1:18">
      <c r="A50" s="7">
        <v>11</v>
      </c>
      <c r="H50" s="7">
        <v>11</v>
      </c>
      <c r="I50" s="7" t="str">
        <f t="shared" si="13"/>
        <v>101,15</v>
      </c>
      <c r="J50" s="7" t="str">
        <f t="shared" si="14"/>
        <v>101,15,11</v>
      </c>
      <c r="K50" s="7" t="str">
        <f t="shared" si="15"/>
        <v/>
      </c>
      <c r="L50" s="7" t="str">
        <f t="shared" si="16"/>
        <v/>
      </c>
      <c r="M50" s="7" t="str">
        <f t="shared" si="17"/>
        <v>101,15,11</v>
      </c>
      <c r="N50" s="7" t="str">
        <f t="shared" si="18"/>
        <v>101,15</v>
      </c>
      <c r="O50" s="7" t="str">
        <f t="shared" si="19"/>
        <v>101,15,11</v>
      </c>
      <c r="P50" s="7" t="str">
        <f t="shared" si="20"/>
        <v/>
      </c>
      <c r="Q50" s="7" t="str">
        <f t="shared" si="21"/>
        <v/>
      </c>
      <c r="R50" s="7" t="str">
        <f t="shared" si="22"/>
        <v>101,15,11</v>
      </c>
    </row>
    <row r="51" spans="1:18">
      <c r="A51" s="7">
        <v>12</v>
      </c>
      <c r="H51" s="7">
        <v>12</v>
      </c>
      <c r="I51" s="7" t="str">
        <f t="shared" si="13"/>
        <v>101,15</v>
      </c>
      <c r="J51" s="7" t="str">
        <f t="shared" si="14"/>
        <v>101,15,12</v>
      </c>
      <c r="K51" s="7" t="str">
        <f t="shared" si="15"/>
        <v/>
      </c>
      <c r="L51" s="7" t="str">
        <f t="shared" si="16"/>
        <v/>
      </c>
      <c r="M51" s="7" t="str">
        <f t="shared" si="17"/>
        <v>101,15,12</v>
      </c>
      <c r="N51" s="7" t="str">
        <f t="shared" si="18"/>
        <v>101,15</v>
      </c>
      <c r="O51" s="7" t="str">
        <f t="shared" si="19"/>
        <v>101,15,12</v>
      </c>
      <c r="P51" s="7" t="str">
        <f t="shared" si="20"/>
        <v/>
      </c>
      <c r="Q51" s="7" t="str">
        <f t="shared" si="21"/>
        <v/>
      </c>
      <c r="R51" s="7" t="str">
        <f t="shared" si="22"/>
        <v>101,15,12</v>
      </c>
    </row>
    <row r="52" spans="1:18">
      <c r="A52" s="7">
        <v>13</v>
      </c>
      <c r="H52" s="7">
        <v>13</v>
      </c>
      <c r="I52" s="7" t="str">
        <f t="shared" si="13"/>
        <v>101,15</v>
      </c>
      <c r="J52" s="7" t="str">
        <f t="shared" si="14"/>
        <v>101,15,13</v>
      </c>
      <c r="K52" s="7" t="str">
        <f t="shared" si="15"/>
        <v/>
      </c>
      <c r="L52" s="7" t="str">
        <f t="shared" si="16"/>
        <v/>
      </c>
      <c r="M52" s="7" t="str">
        <f t="shared" si="17"/>
        <v>101,15,13</v>
      </c>
      <c r="N52" s="7" t="str">
        <f t="shared" si="18"/>
        <v>101,15</v>
      </c>
      <c r="O52" s="7" t="str">
        <f t="shared" si="19"/>
        <v>101,15,13</v>
      </c>
      <c r="P52" s="7" t="str">
        <f t="shared" si="20"/>
        <v/>
      </c>
      <c r="Q52" s="7" t="str">
        <f t="shared" si="21"/>
        <v/>
      </c>
      <c r="R52" s="7" t="str">
        <f t="shared" si="22"/>
        <v>101,15,13</v>
      </c>
    </row>
    <row r="53" spans="1:18">
      <c r="A53" s="7">
        <v>14</v>
      </c>
      <c r="H53" s="7">
        <v>14</v>
      </c>
      <c r="I53" s="7" t="str">
        <f t="shared" si="13"/>
        <v>101,15</v>
      </c>
      <c r="J53" s="7" t="str">
        <f t="shared" si="14"/>
        <v>101,15,14</v>
      </c>
      <c r="K53" s="7" t="str">
        <f t="shared" si="15"/>
        <v/>
      </c>
      <c r="L53" s="7" t="str">
        <f t="shared" si="16"/>
        <v/>
      </c>
      <c r="M53" s="7" t="str">
        <f t="shared" si="17"/>
        <v>101,15,14</v>
      </c>
      <c r="N53" s="7" t="str">
        <f t="shared" si="18"/>
        <v>101,15</v>
      </c>
      <c r="O53" s="7" t="str">
        <f t="shared" si="19"/>
        <v>101,15,14</v>
      </c>
      <c r="P53" s="7" t="str">
        <f t="shared" si="20"/>
        <v/>
      </c>
      <c r="Q53" s="7" t="str">
        <f t="shared" si="21"/>
        <v/>
      </c>
      <c r="R53" s="7" t="str">
        <f t="shared" si="22"/>
        <v>101,15,14</v>
      </c>
    </row>
    <row r="54" spans="1:18">
      <c r="A54" s="7">
        <v>15</v>
      </c>
      <c r="H54" s="7">
        <v>15</v>
      </c>
      <c r="I54" s="7" t="str">
        <f t="shared" si="13"/>
        <v>101,10</v>
      </c>
      <c r="J54" s="7" t="str">
        <f t="shared" si="14"/>
        <v>101,10,15</v>
      </c>
      <c r="K54" s="7" t="str">
        <f t="shared" si="15"/>
        <v>105,5</v>
      </c>
      <c r="L54" s="7" t="str">
        <f t="shared" si="16"/>
        <v>105,5,15</v>
      </c>
      <c r="M54" s="7" t="str">
        <f t="shared" si="17"/>
        <v>101,10,15;105,5,15</v>
      </c>
      <c r="N54" s="7" t="str">
        <f t="shared" si="18"/>
        <v>101,10</v>
      </c>
      <c r="O54" s="7" t="str">
        <f t="shared" si="19"/>
        <v>101,10,15</v>
      </c>
      <c r="P54" s="7" t="str">
        <f t="shared" si="20"/>
        <v>105,5</v>
      </c>
      <c r="Q54" s="7" t="str">
        <f t="shared" si="21"/>
        <v>105,5,15</v>
      </c>
      <c r="R54" s="7" t="str">
        <f t="shared" si="22"/>
        <v>101,10,15;105,5,15</v>
      </c>
    </row>
    <row r="55" spans="1:18">
      <c r="A55" s="7">
        <v>16</v>
      </c>
      <c r="H55" s="7">
        <v>16</v>
      </c>
      <c r="I55" s="7" t="str">
        <f t="shared" si="13"/>
        <v>101,15</v>
      </c>
      <c r="J55" s="7" t="str">
        <f t="shared" si="14"/>
        <v>101,15,16</v>
      </c>
      <c r="K55" s="7" t="str">
        <f t="shared" si="15"/>
        <v/>
      </c>
      <c r="L55" s="7" t="str">
        <f t="shared" si="16"/>
        <v/>
      </c>
      <c r="M55" s="7" t="str">
        <f t="shared" si="17"/>
        <v>101,15,16</v>
      </c>
      <c r="N55" s="7" t="str">
        <f t="shared" si="18"/>
        <v>101,15</v>
      </c>
      <c r="O55" s="7" t="str">
        <f t="shared" si="19"/>
        <v>101,15,16</v>
      </c>
      <c r="P55" s="7" t="str">
        <f t="shared" si="20"/>
        <v/>
      </c>
      <c r="Q55" s="7" t="str">
        <f t="shared" si="21"/>
        <v/>
      </c>
      <c r="R55" s="7" t="str">
        <f t="shared" si="22"/>
        <v>101,15,16</v>
      </c>
    </row>
    <row r="56" spans="1:18">
      <c r="A56" s="7">
        <v>17</v>
      </c>
      <c r="H56" s="7">
        <v>17</v>
      </c>
      <c r="I56" s="7" t="str">
        <f t="shared" si="13"/>
        <v>101,15</v>
      </c>
      <c r="J56" s="7" t="str">
        <f t="shared" si="14"/>
        <v>101,15,17</v>
      </c>
      <c r="K56" s="7" t="str">
        <f t="shared" si="15"/>
        <v/>
      </c>
      <c r="L56" s="7" t="str">
        <f t="shared" si="16"/>
        <v/>
      </c>
      <c r="M56" s="7" t="str">
        <f t="shared" si="17"/>
        <v>101,15,17</v>
      </c>
      <c r="N56" s="7" t="str">
        <f t="shared" si="18"/>
        <v>101,15</v>
      </c>
      <c r="O56" s="7" t="str">
        <f t="shared" si="19"/>
        <v>101,15,17</v>
      </c>
      <c r="P56" s="7" t="str">
        <f t="shared" si="20"/>
        <v/>
      </c>
      <c r="Q56" s="7" t="str">
        <f t="shared" si="21"/>
        <v/>
      </c>
      <c r="R56" s="7" t="str">
        <f t="shared" si="22"/>
        <v>101,15,17</v>
      </c>
    </row>
    <row r="57" spans="1:18">
      <c r="A57" s="7">
        <v>18</v>
      </c>
      <c r="H57" s="7">
        <v>18</v>
      </c>
      <c r="I57" s="7" t="str">
        <f t="shared" si="13"/>
        <v>101,15</v>
      </c>
      <c r="J57" s="7" t="str">
        <f t="shared" si="14"/>
        <v>101,15,18</v>
      </c>
      <c r="K57" s="7" t="str">
        <f t="shared" si="15"/>
        <v/>
      </c>
      <c r="L57" s="7" t="str">
        <f t="shared" si="16"/>
        <v/>
      </c>
      <c r="M57" s="7" t="str">
        <f t="shared" si="17"/>
        <v>101,15,18</v>
      </c>
      <c r="N57" s="7" t="str">
        <f t="shared" si="18"/>
        <v>101,15</v>
      </c>
      <c r="O57" s="7" t="str">
        <f t="shared" si="19"/>
        <v>101,15,18</v>
      </c>
      <c r="P57" s="7" t="str">
        <f t="shared" si="20"/>
        <v/>
      </c>
      <c r="Q57" s="7" t="str">
        <f t="shared" si="21"/>
        <v/>
      </c>
      <c r="R57" s="7" t="str">
        <f t="shared" si="22"/>
        <v>101,15,18</v>
      </c>
    </row>
    <row r="58" spans="1:18">
      <c r="A58" s="7">
        <v>19</v>
      </c>
      <c r="H58" s="7">
        <v>19</v>
      </c>
      <c r="I58" s="7" t="str">
        <f t="shared" si="13"/>
        <v>101,15</v>
      </c>
      <c r="J58" s="7" t="str">
        <f t="shared" si="14"/>
        <v>101,15,19</v>
      </c>
      <c r="K58" s="7" t="str">
        <f t="shared" si="15"/>
        <v/>
      </c>
      <c r="L58" s="7" t="str">
        <f t="shared" si="16"/>
        <v/>
      </c>
      <c r="M58" s="7" t="str">
        <f t="shared" si="17"/>
        <v>101,15,19</v>
      </c>
      <c r="N58" s="7" t="str">
        <f t="shared" si="18"/>
        <v>101,15</v>
      </c>
      <c r="O58" s="7" t="str">
        <f t="shared" si="19"/>
        <v>101,15,19</v>
      </c>
      <c r="P58" s="7" t="str">
        <f t="shared" si="20"/>
        <v/>
      </c>
      <c r="Q58" s="7" t="str">
        <f t="shared" si="21"/>
        <v/>
      </c>
      <c r="R58" s="7" t="str">
        <f t="shared" si="22"/>
        <v>101,15,19</v>
      </c>
    </row>
    <row r="59" spans="1:18">
      <c r="A59" s="7">
        <v>20</v>
      </c>
      <c r="H59" s="7">
        <v>20</v>
      </c>
      <c r="I59" s="7" t="str">
        <f t="shared" si="13"/>
        <v>101,15</v>
      </c>
      <c r="J59" s="7" t="str">
        <f t="shared" si="14"/>
        <v>101,15,20</v>
      </c>
      <c r="K59" s="7" t="str">
        <f t="shared" si="15"/>
        <v>106,1</v>
      </c>
      <c r="L59" s="7" t="str">
        <f t="shared" si="16"/>
        <v>106,1,20</v>
      </c>
      <c r="M59" s="7" t="str">
        <f t="shared" si="17"/>
        <v>101,15,20;106,1,20</v>
      </c>
      <c r="N59" s="7" t="str">
        <f t="shared" si="18"/>
        <v>101,15</v>
      </c>
      <c r="O59" s="7" t="str">
        <f t="shared" si="19"/>
        <v>101,15,20</v>
      </c>
      <c r="P59" s="7" t="str">
        <f t="shared" si="20"/>
        <v>106,1</v>
      </c>
      <c r="Q59" s="7" t="str">
        <f t="shared" si="21"/>
        <v>106,1,20</v>
      </c>
      <c r="R59" s="7" t="str">
        <f t="shared" si="22"/>
        <v>101,15,20;106,1,20</v>
      </c>
    </row>
    <row r="60" spans="1:18">
      <c r="A60" s="7">
        <v>21</v>
      </c>
      <c r="H60" s="7">
        <v>21</v>
      </c>
      <c r="I60" s="7" t="str">
        <f t="shared" si="13"/>
        <v>101,20</v>
      </c>
      <c r="J60" s="7" t="str">
        <f t="shared" si="14"/>
        <v>101,20,21</v>
      </c>
      <c r="K60" s="7" t="str">
        <f t="shared" si="15"/>
        <v/>
      </c>
      <c r="L60" s="7" t="str">
        <f t="shared" si="16"/>
        <v/>
      </c>
      <c r="M60" s="7" t="str">
        <f t="shared" si="17"/>
        <v>101,20,21</v>
      </c>
      <c r="N60" s="7" t="str">
        <f t="shared" si="18"/>
        <v>101,20</v>
      </c>
      <c r="O60" s="7" t="str">
        <f t="shared" si="19"/>
        <v>101,20,21</v>
      </c>
      <c r="P60" s="7" t="str">
        <f t="shared" si="20"/>
        <v/>
      </c>
      <c r="Q60" s="7" t="str">
        <f t="shared" si="21"/>
        <v/>
      </c>
      <c r="R60" s="7" t="str">
        <f t="shared" si="22"/>
        <v>101,20,21</v>
      </c>
    </row>
    <row r="61" spans="1:18">
      <c r="A61" s="7">
        <v>22</v>
      </c>
      <c r="H61" s="7">
        <v>22</v>
      </c>
      <c r="I61" s="7" t="str">
        <f t="shared" si="13"/>
        <v>101,20</v>
      </c>
      <c r="J61" s="7" t="str">
        <f t="shared" si="14"/>
        <v>101,20,22</v>
      </c>
      <c r="K61" s="7" t="str">
        <f t="shared" si="15"/>
        <v/>
      </c>
      <c r="L61" s="7" t="str">
        <f t="shared" si="16"/>
        <v/>
      </c>
      <c r="M61" s="7" t="str">
        <f t="shared" si="17"/>
        <v>101,20,22</v>
      </c>
      <c r="N61" s="7" t="str">
        <f t="shared" si="18"/>
        <v>101,20</v>
      </c>
      <c r="O61" s="7" t="str">
        <f t="shared" si="19"/>
        <v>101,20,22</v>
      </c>
      <c r="P61" s="7" t="str">
        <f t="shared" si="20"/>
        <v/>
      </c>
      <c r="Q61" s="7" t="str">
        <f t="shared" si="21"/>
        <v/>
      </c>
      <c r="R61" s="7" t="str">
        <f t="shared" si="22"/>
        <v>101,20,22</v>
      </c>
    </row>
    <row r="62" spans="1:18">
      <c r="A62" s="7">
        <v>23</v>
      </c>
      <c r="H62" s="7">
        <v>23</v>
      </c>
      <c r="I62" s="7" t="str">
        <f t="shared" si="13"/>
        <v>101,20</v>
      </c>
      <c r="J62" s="7" t="str">
        <f t="shared" si="14"/>
        <v>101,20,23</v>
      </c>
      <c r="K62" s="7" t="str">
        <f t="shared" si="15"/>
        <v/>
      </c>
      <c r="L62" s="7" t="str">
        <f t="shared" si="16"/>
        <v/>
      </c>
      <c r="M62" s="7" t="str">
        <f t="shared" si="17"/>
        <v>101,20,23</v>
      </c>
      <c r="N62" s="7" t="str">
        <f t="shared" si="18"/>
        <v>101,20</v>
      </c>
      <c r="O62" s="7" t="str">
        <f t="shared" si="19"/>
        <v>101,20,23</v>
      </c>
      <c r="P62" s="7" t="str">
        <f t="shared" si="20"/>
        <v/>
      </c>
      <c r="Q62" s="7" t="str">
        <f t="shared" si="21"/>
        <v/>
      </c>
      <c r="R62" s="7" t="str">
        <f t="shared" si="22"/>
        <v>101,20,23</v>
      </c>
    </row>
    <row r="63" spans="1:18">
      <c r="A63" s="7">
        <v>24</v>
      </c>
      <c r="H63" s="7">
        <v>24</v>
      </c>
      <c r="I63" s="7" t="str">
        <f t="shared" si="13"/>
        <v>101,20</v>
      </c>
      <c r="J63" s="7" t="str">
        <f t="shared" si="14"/>
        <v>101,20,24</v>
      </c>
      <c r="K63" s="7" t="str">
        <f t="shared" si="15"/>
        <v/>
      </c>
      <c r="L63" s="7" t="str">
        <f t="shared" si="16"/>
        <v/>
      </c>
      <c r="M63" s="7" t="str">
        <f t="shared" si="17"/>
        <v>101,20,24</v>
      </c>
      <c r="N63" s="7" t="str">
        <f t="shared" si="18"/>
        <v>101,20</v>
      </c>
      <c r="O63" s="7" t="str">
        <f t="shared" si="19"/>
        <v>101,20,24</v>
      </c>
      <c r="P63" s="7" t="str">
        <f t="shared" si="20"/>
        <v/>
      </c>
      <c r="Q63" s="7" t="str">
        <f t="shared" si="21"/>
        <v/>
      </c>
      <c r="R63" s="7" t="str">
        <f t="shared" si="22"/>
        <v>101,20,24</v>
      </c>
    </row>
    <row r="64" spans="1:18">
      <c r="A64" s="7">
        <v>25</v>
      </c>
      <c r="H64" s="7">
        <v>25</v>
      </c>
      <c r="I64" s="7" t="str">
        <f t="shared" si="13"/>
        <v>101,15</v>
      </c>
      <c r="J64" s="7" t="str">
        <f t="shared" si="14"/>
        <v>101,15,25</v>
      </c>
      <c r="K64" s="7" t="str">
        <f t="shared" si="15"/>
        <v>105,5</v>
      </c>
      <c r="L64" s="7" t="str">
        <f t="shared" si="16"/>
        <v>105,5,25</v>
      </c>
      <c r="M64" s="7" t="str">
        <f t="shared" si="17"/>
        <v>101,15,25;105,5,25</v>
      </c>
      <c r="N64" s="7" t="str">
        <f t="shared" si="18"/>
        <v>101,15</v>
      </c>
      <c r="O64" s="7" t="str">
        <f t="shared" si="19"/>
        <v>101,15,25</v>
      </c>
      <c r="P64" s="7" t="str">
        <f t="shared" si="20"/>
        <v>105,5</v>
      </c>
      <c r="Q64" s="7" t="str">
        <f t="shared" si="21"/>
        <v>105,5,25</v>
      </c>
      <c r="R64" s="7" t="str">
        <f t="shared" si="22"/>
        <v>101,15,25;105,5,25</v>
      </c>
    </row>
    <row r="65" spans="1:18">
      <c r="A65" s="7">
        <v>26</v>
      </c>
      <c r="H65" s="7">
        <v>26</v>
      </c>
      <c r="I65" s="7" t="str">
        <f t="shared" si="13"/>
        <v>101,20</v>
      </c>
      <c r="J65" s="7" t="str">
        <f t="shared" si="14"/>
        <v>101,20,26</v>
      </c>
      <c r="K65" s="7" t="str">
        <f t="shared" si="15"/>
        <v/>
      </c>
      <c r="L65" s="7" t="str">
        <f t="shared" si="16"/>
        <v/>
      </c>
      <c r="M65" s="7" t="str">
        <f t="shared" si="17"/>
        <v>101,20,26</v>
      </c>
      <c r="N65" s="7" t="str">
        <f t="shared" si="18"/>
        <v>101,20</v>
      </c>
      <c r="O65" s="7" t="str">
        <f t="shared" si="19"/>
        <v>101,20,26</v>
      </c>
      <c r="P65" s="7" t="str">
        <f t="shared" si="20"/>
        <v/>
      </c>
      <c r="Q65" s="7" t="str">
        <f t="shared" si="21"/>
        <v/>
      </c>
      <c r="R65" s="7" t="str">
        <f t="shared" si="22"/>
        <v>101,20,26</v>
      </c>
    </row>
    <row r="66" spans="1:18">
      <c r="A66" s="7">
        <v>27</v>
      </c>
      <c r="H66" s="7">
        <v>27</v>
      </c>
      <c r="I66" s="7" t="str">
        <f t="shared" si="13"/>
        <v>101,20</v>
      </c>
      <c r="J66" s="7" t="str">
        <f t="shared" si="14"/>
        <v>101,20,27</v>
      </c>
      <c r="K66" s="7" t="str">
        <f t="shared" si="15"/>
        <v/>
      </c>
      <c r="L66" s="7" t="str">
        <f t="shared" si="16"/>
        <v/>
      </c>
      <c r="M66" s="7" t="str">
        <f t="shared" si="17"/>
        <v>101,20,27</v>
      </c>
      <c r="N66" s="7" t="str">
        <f t="shared" si="18"/>
        <v>101,20</v>
      </c>
      <c r="O66" s="7" t="str">
        <f t="shared" si="19"/>
        <v>101,20,27</v>
      </c>
      <c r="P66" s="7" t="str">
        <f t="shared" si="20"/>
        <v/>
      </c>
      <c r="Q66" s="7" t="str">
        <f t="shared" si="21"/>
        <v/>
      </c>
      <c r="R66" s="7" t="str">
        <f t="shared" si="22"/>
        <v>101,20,27</v>
      </c>
    </row>
    <row r="67" spans="1:18">
      <c r="A67" s="7">
        <v>28</v>
      </c>
      <c r="H67" s="7">
        <v>28</v>
      </c>
      <c r="I67" s="7" t="str">
        <f t="shared" si="13"/>
        <v>101,20</v>
      </c>
      <c r="J67" s="7" t="str">
        <f t="shared" si="14"/>
        <v>101,20,28</v>
      </c>
      <c r="K67" s="7" t="str">
        <f t="shared" si="15"/>
        <v/>
      </c>
      <c r="L67" s="7" t="str">
        <f t="shared" si="16"/>
        <v/>
      </c>
      <c r="M67" s="7" t="str">
        <f t="shared" si="17"/>
        <v>101,20,28</v>
      </c>
      <c r="N67" s="7" t="str">
        <f t="shared" si="18"/>
        <v>101,20</v>
      </c>
      <c r="O67" s="7" t="str">
        <f t="shared" si="19"/>
        <v>101,20,28</v>
      </c>
      <c r="P67" s="7" t="str">
        <f t="shared" si="20"/>
        <v/>
      </c>
      <c r="Q67" s="7" t="str">
        <f t="shared" si="21"/>
        <v/>
      </c>
      <c r="R67" s="7" t="str">
        <f t="shared" si="22"/>
        <v>101,20,28</v>
      </c>
    </row>
    <row r="68" spans="1:18">
      <c r="A68" s="7">
        <v>29</v>
      </c>
      <c r="H68" s="7">
        <v>29</v>
      </c>
      <c r="I68" s="7" t="str">
        <f t="shared" si="13"/>
        <v>101,20</v>
      </c>
      <c r="J68" s="7" t="str">
        <f t="shared" si="14"/>
        <v>101,20,29</v>
      </c>
      <c r="K68" s="7" t="str">
        <f t="shared" si="15"/>
        <v/>
      </c>
      <c r="L68" s="7" t="str">
        <f t="shared" si="16"/>
        <v/>
      </c>
      <c r="M68" s="7" t="str">
        <f t="shared" si="17"/>
        <v>101,20,29</v>
      </c>
      <c r="N68" s="7" t="str">
        <f t="shared" si="18"/>
        <v>101,20</v>
      </c>
      <c r="O68" s="7" t="str">
        <f t="shared" si="19"/>
        <v>101,20,29</v>
      </c>
      <c r="P68" s="7" t="str">
        <f t="shared" si="20"/>
        <v/>
      </c>
      <c r="Q68" s="7" t="str">
        <f t="shared" si="21"/>
        <v/>
      </c>
      <c r="R68" s="7" t="str">
        <f t="shared" si="22"/>
        <v>101,20,29</v>
      </c>
    </row>
    <row r="69" spans="1:18">
      <c r="A69" s="7">
        <v>30</v>
      </c>
      <c r="H69" s="7">
        <v>30</v>
      </c>
      <c r="I69" s="7" t="str">
        <f t="shared" si="13"/>
        <v>101,20</v>
      </c>
      <c r="J69" s="7" t="str">
        <f t="shared" si="14"/>
        <v>101,20,30</v>
      </c>
      <c r="K69" s="7" t="str">
        <f t="shared" si="15"/>
        <v>106,1</v>
      </c>
      <c r="L69" s="7" t="str">
        <f t="shared" si="16"/>
        <v>106,1,30</v>
      </c>
      <c r="M69" s="7" t="str">
        <f t="shared" si="17"/>
        <v>101,20,30;106,1,30</v>
      </c>
      <c r="N69" s="7" t="str">
        <f t="shared" si="18"/>
        <v>101,20</v>
      </c>
      <c r="O69" s="7" t="str">
        <f t="shared" si="19"/>
        <v>101,20,30</v>
      </c>
      <c r="P69" s="7" t="str">
        <f t="shared" si="20"/>
        <v>106,1</v>
      </c>
      <c r="Q69" s="7" t="str">
        <f t="shared" si="21"/>
        <v>106,1,30</v>
      </c>
      <c r="R69" s="7" t="str">
        <f t="shared" si="22"/>
        <v>101,20,30;106,1,30</v>
      </c>
    </row>
    <row r="70" spans="1:18">
      <c r="A70" s="7">
        <v>31</v>
      </c>
      <c r="M70" s="7" t="s">
        <v>568</v>
      </c>
      <c r="R70" s="7" t="s">
        <v>570</v>
      </c>
    </row>
    <row r="71" spans="1:18">
      <c r="A71" s="7">
        <v>32</v>
      </c>
      <c r="M71" s="29" t="str">
        <f>_xlfn.TEXTJOIN("|",TRUE,M40:M69)</f>
        <v>101,10,1|101,10,2|101,10,3|101,10,4|101,5,5;105,5,5|101,10,6|101,10,7|101,10,8|101,10,9|101,10,10;106,1,10|101,15,11|101,15,12|101,15,13|101,15,14|101,10,15;105,5,15|101,15,16|101,15,17|101,15,18|101,15,19|101,15,20;106,1,20|101,20,21|101,20,22|101,20,23|101,20,24|101,15,25;105,5,25|101,20,26|101,20,27|101,20,28|101,20,29|101,20,30;106,1,30</v>
      </c>
      <c r="R71" s="29" t="str">
        <f>_xlfn.TEXTJOIN("|",TRUE,R40:R69)</f>
        <v>101,10,1|101,10,2|101,10,3|101,10,4|101,5,5;105,5,5|101,10,6|101,10,7|101,10,8|101,10,9|101,10,10;106,1,10|101,15,11|101,15,12|101,15,13|101,15,14|101,10,15;105,5,15|101,15,16|101,15,17|101,15,18|101,15,19|101,15,20;106,1,20|101,20,21|101,20,22|101,20,23|101,20,24|101,15,25;105,5,25|101,20,26|101,20,27|101,20,28|101,20,29|101,20,30;106,1,30</v>
      </c>
    </row>
    <row r="72" spans="1:1">
      <c r="A72" s="7">
        <v>33</v>
      </c>
    </row>
    <row r="73" spans="1:1">
      <c r="A73" s="7">
        <v>34</v>
      </c>
    </row>
    <row r="74" spans="1:1">
      <c r="A74" s="7">
        <v>35</v>
      </c>
    </row>
    <row r="75" spans="1:1">
      <c r="A75" s="7">
        <v>36</v>
      </c>
    </row>
    <row r="76" spans="1:1">
      <c r="A76" s="7">
        <v>37</v>
      </c>
    </row>
    <row r="77" spans="1:1">
      <c r="A77" s="7">
        <v>38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5"/>
  <sheetViews>
    <sheetView topLeftCell="Q52" workbookViewId="0">
      <selection activeCell="AF83" sqref="AF83"/>
    </sheetView>
  </sheetViews>
  <sheetFormatPr defaultColWidth="8.88888888888889" defaultRowHeight="13.8"/>
  <cols>
    <col min="4" max="4" width="9.58333333333333" customWidth="1"/>
    <col min="5" max="5" width="10" customWidth="1"/>
    <col min="6" max="6" width="10.1388888888889" customWidth="1"/>
    <col min="7" max="7" width="13.6111111111111" customWidth="1"/>
    <col min="8" max="8" width="9.66666666666667" customWidth="1"/>
    <col min="9" max="9" width="9.58333333333333" customWidth="1"/>
    <col min="10" max="10" width="12.3611111111111" customWidth="1"/>
    <col min="11" max="11" width="10.1111111111111" customWidth="1"/>
    <col min="12" max="12" width="10" customWidth="1"/>
    <col min="13" max="13" width="17.1111111111111" customWidth="1"/>
    <col min="14" max="14" width="12.8888888888889"/>
    <col min="15" max="15" width="13.8888888888889" customWidth="1"/>
    <col min="16" max="16" width="17.7777777777778" customWidth="1"/>
    <col min="17" max="17" width="18.1111111111111" customWidth="1"/>
    <col min="18" max="18" width="19.3055555555556" customWidth="1"/>
    <col min="19" max="19" width="14.7777777777778" customWidth="1"/>
    <col min="20" max="20" width="15.6944444444444" customWidth="1"/>
    <col min="21" max="21" width="16.1111111111111" customWidth="1"/>
    <col min="22" max="22" width="12.6388888888889" customWidth="1"/>
    <col min="23" max="23" width="13.3333333333333" customWidth="1"/>
    <col min="24" max="25" width="15" customWidth="1"/>
    <col min="27" max="27" width="10.6944444444444" customWidth="1"/>
    <col min="28" max="28" width="12.7777777777778" customWidth="1"/>
    <col min="29" max="29" width="16.25" customWidth="1"/>
    <col min="30" max="30" width="12.8888888888889" style="4"/>
    <col min="31" max="31" width="12.6388888888889" customWidth="1"/>
  </cols>
  <sheetData>
    <row r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4">
        <v>101</v>
      </c>
      <c r="Y1" s="7">
        <v>3</v>
      </c>
      <c r="Z1" s="4">
        <v>102</v>
      </c>
      <c r="AA1">
        <v>103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>ROUNDDOWN((B2-((M2-1)*$AC$2))/$X$6,0)</f>
        <v>2</v>
      </c>
      <c r="D2" s="7">
        <v>0</v>
      </c>
      <c r="E2" s="7">
        <v>1</v>
      </c>
      <c r="F2" s="7">
        <f t="shared" ref="F2:F8" si="0">ROUND(C2*0.8,0)</f>
        <v>2</v>
      </c>
      <c r="G2" s="7">
        <f t="shared" ref="G2:G8" si="1">ROUND(E2*F2,0)</f>
        <v>2</v>
      </c>
      <c r="H2" s="7">
        <v>1</v>
      </c>
      <c r="I2" s="7">
        <f>IF(A2&lt;5,$X$1,IF(A2&gt;10,$AA$1,$Z$1))</f>
        <v>101</v>
      </c>
      <c r="J2" s="7">
        <v>10</v>
      </c>
      <c r="K2" s="7" t="str">
        <f>IF(H2=1,"",INDEX($X$1:$X$3,MATCH(H2,$V$1:$V$3,0)))</f>
        <v/>
      </c>
      <c r="L2" s="7" t="str">
        <f t="shared" ref="L2:L11" si="2">IF(H2=1,"",IF(H2=2,5,1))</f>
        <v/>
      </c>
      <c r="M2" s="7">
        <v>1</v>
      </c>
      <c r="N2" s="7">
        <f>IF(A2&lt;5,$X$1,IF(A2&gt;10,$AA$1,$Z$1))</f>
        <v>101</v>
      </c>
      <c r="O2" s="7">
        <v>10</v>
      </c>
      <c r="P2" s="7" t="str">
        <f>IF(H2=1,"",INDEX($X$1:$X$3,MATCH(H2,$V$1:$V$3,0)))</f>
        <v/>
      </c>
      <c r="Q2" s="7" t="str">
        <f>IF(H2=1,"",IF(H2=2,5,1))</f>
        <v/>
      </c>
      <c r="R2" s="7"/>
      <c r="S2" s="7">
        <f>SUM(J2,Q2,,O2,L2)</f>
        <v>20</v>
      </c>
      <c r="T2" s="7"/>
      <c r="U2" s="7">
        <f t="shared" ref="U2:U11" si="3">SUM(J2,L2)+15</f>
        <v>25</v>
      </c>
      <c r="V2" s="7">
        <v>2</v>
      </c>
      <c r="W2" s="4" t="s">
        <v>577</v>
      </c>
      <c r="X2" s="4">
        <v>105</v>
      </c>
      <c r="Y2" s="4">
        <v>5</v>
      </c>
      <c r="AB2" s="4">
        <v>110</v>
      </c>
      <c r="AC2" s="7">
        <v>50</v>
      </c>
    </row>
    <row r="3" spans="1:29">
      <c r="A3" s="7">
        <v>2</v>
      </c>
      <c r="B3" s="7">
        <f>B2+$AB$2</f>
        <v>210</v>
      </c>
      <c r="C3" s="7">
        <f t="shared" ref="C3:C11" si="4">ROUNDDOWN((B3-((M3-1)*$AC$2))/$X$6,0)</f>
        <v>5</v>
      </c>
      <c r="D3" s="7">
        <v>0</v>
      </c>
      <c r="E3" s="7">
        <v>1</v>
      </c>
      <c r="F3" s="7">
        <f t="shared" si="0"/>
        <v>4</v>
      </c>
      <c r="G3" s="7">
        <f t="shared" si="1"/>
        <v>4</v>
      </c>
      <c r="H3" s="7">
        <v>1</v>
      </c>
      <c r="I3" s="7">
        <f t="shared" ref="I3:I11" si="5">IF(A3&lt;5,$X$1,IF(A3&gt;10,$AA$1,$Z$1))</f>
        <v>101</v>
      </c>
      <c r="J3" s="7">
        <v>10</v>
      </c>
      <c r="K3" s="7" t="str">
        <f>IF(H3=1,"",INDEX($X$1:$X$3,MATCH(H3,$V$1:$V$3,0)))</f>
        <v/>
      </c>
      <c r="L3" s="7" t="str">
        <f t="shared" si="2"/>
        <v/>
      </c>
      <c r="M3" s="7">
        <v>1</v>
      </c>
      <c r="N3" s="7">
        <f t="shared" ref="N3:N11" si="6">IF(A3&lt;5,$X$1,IF(A3&gt;10,$AA$1,$Z$1))</f>
        <v>101</v>
      </c>
      <c r="O3" s="7">
        <v>10</v>
      </c>
      <c r="P3" s="7" t="str">
        <f>IF(H3=1,"",INDEX($X$1:$X$3,MATCH(H3,$V$1:$V$3,0)))</f>
        <v/>
      </c>
      <c r="Q3" s="7" t="str">
        <f>IF(H3=1,"",IF(H3=2,5,1))</f>
        <v/>
      </c>
      <c r="R3" s="7"/>
      <c r="S3" s="7">
        <f>SUM(J3,Q3,,O3,L3)</f>
        <v>20</v>
      </c>
      <c r="T3" s="7"/>
      <c r="U3" s="7">
        <f t="shared" si="3"/>
        <v>25</v>
      </c>
      <c r="V3" s="7">
        <v>3</v>
      </c>
      <c r="W3" s="4" t="s">
        <v>578</v>
      </c>
      <c r="X3" s="4">
        <v>106</v>
      </c>
      <c r="Y3" s="7">
        <v>10</v>
      </c>
      <c r="AC3" s="7"/>
    </row>
    <row r="4" spans="1:25">
      <c r="A4" s="7">
        <v>3</v>
      </c>
      <c r="B4" s="7">
        <f>B3+$AB$2</f>
        <v>320</v>
      </c>
      <c r="C4" s="7">
        <f t="shared" si="4"/>
        <v>6</v>
      </c>
      <c r="D4" s="7">
        <v>1</v>
      </c>
      <c r="E4" s="7">
        <v>1.16666666666667</v>
      </c>
      <c r="F4" s="7">
        <f t="shared" si="0"/>
        <v>5</v>
      </c>
      <c r="G4" s="7">
        <f t="shared" si="1"/>
        <v>6</v>
      </c>
      <c r="H4" s="7">
        <v>1</v>
      </c>
      <c r="I4" s="7">
        <f t="shared" si="5"/>
        <v>101</v>
      </c>
      <c r="J4" s="7">
        <v>10</v>
      </c>
      <c r="K4" s="7" t="str">
        <f>IF(H4=1,"",INDEX($X$1:$X$3,MATCH(H4,$V$1:$V$3,0)))</f>
        <v/>
      </c>
      <c r="L4" s="7" t="str">
        <f t="shared" si="2"/>
        <v/>
      </c>
      <c r="M4" s="7">
        <v>2</v>
      </c>
      <c r="N4" s="7">
        <f t="shared" si="6"/>
        <v>101</v>
      </c>
      <c r="O4" s="7">
        <v>10</v>
      </c>
      <c r="P4" s="7" t="str">
        <f>IF(H4=1,"",INDEX($X$1:$X$3,MATCH(H4,$V$1:$V$3,0)))</f>
        <v/>
      </c>
      <c r="Q4" s="7" t="str">
        <f>IF(H4=1,"",IF(H4=2,5,1))</f>
        <v/>
      </c>
      <c r="R4" s="7"/>
      <c r="S4" s="7">
        <f>SUM(J4,Q4,,O4,L4)</f>
        <v>20</v>
      </c>
      <c r="T4" s="7"/>
      <c r="U4" s="7">
        <f t="shared" si="3"/>
        <v>25</v>
      </c>
      <c r="V4" s="7"/>
      <c r="W4" s="4"/>
      <c r="X4" s="4"/>
      <c r="Y4" s="4"/>
    </row>
    <row r="5" spans="1:26">
      <c r="A5" s="7">
        <v>4</v>
      </c>
      <c r="B5" s="7">
        <f>B4+$AB$2</f>
        <v>430</v>
      </c>
      <c r="C5" s="7">
        <f t="shared" si="4"/>
        <v>8</v>
      </c>
      <c r="D5" s="7">
        <v>1</v>
      </c>
      <c r="E5" s="7">
        <v>1.16666666666667</v>
      </c>
      <c r="F5" s="7">
        <f t="shared" si="0"/>
        <v>6</v>
      </c>
      <c r="G5" s="7">
        <f t="shared" si="1"/>
        <v>7</v>
      </c>
      <c r="H5" s="7">
        <v>1</v>
      </c>
      <c r="I5" s="7">
        <f t="shared" si="5"/>
        <v>101</v>
      </c>
      <c r="J5" s="7">
        <v>10</v>
      </c>
      <c r="K5" s="7">
        <v>105</v>
      </c>
      <c r="L5" s="7">
        <v>5</v>
      </c>
      <c r="M5" s="7">
        <v>3</v>
      </c>
      <c r="N5" s="7">
        <f t="shared" si="6"/>
        <v>101</v>
      </c>
      <c r="O5" s="7">
        <v>10</v>
      </c>
      <c r="P5" s="7">
        <v>105</v>
      </c>
      <c r="Q5" s="7">
        <v>5</v>
      </c>
      <c r="R5" s="7"/>
      <c r="S5" s="7">
        <f>SUM(J5,Q5,,O5,L5)</f>
        <v>30</v>
      </c>
      <c r="T5" s="7"/>
      <c r="U5" s="7">
        <f t="shared" si="3"/>
        <v>30</v>
      </c>
      <c r="V5" s="7" t="s">
        <v>579</v>
      </c>
      <c r="Y5" s="4"/>
      <c r="Z5" s="7" t="s">
        <v>580</v>
      </c>
    </row>
    <row r="6" spans="1:26">
      <c r="A6" s="7">
        <v>5</v>
      </c>
      <c r="B6" s="7">
        <f>B5+$AB$2</f>
        <v>540</v>
      </c>
      <c r="C6" s="7">
        <f t="shared" si="4"/>
        <v>9</v>
      </c>
      <c r="D6" s="7">
        <v>2</v>
      </c>
      <c r="E6" s="7">
        <v>1.33333333333333</v>
      </c>
      <c r="F6" s="7">
        <f t="shared" si="0"/>
        <v>7</v>
      </c>
      <c r="G6" s="7">
        <f t="shared" si="1"/>
        <v>9</v>
      </c>
      <c r="H6" s="7">
        <v>1</v>
      </c>
      <c r="I6" s="7">
        <f t="shared" si="5"/>
        <v>102</v>
      </c>
      <c r="J6" s="7">
        <v>15</v>
      </c>
      <c r="M6" s="7">
        <v>4</v>
      </c>
      <c r="N6" s="7">
        <f t="shared" si="6"/>
        <v>102</v>
      </c>
      <c r="O6" s="7">
        <v>15</v>
      </c>
      <c r="R6" s="7"/>
      <c r="S6" s="7">
        <f>SUM(J6,Q5,,O6,L5)</f>
        <v>40</v>
      </c>
      <c r="T6" s="7"/>
      <c r="U6" s="7">
        <f>SUM(J6,L5)+15</f>
        <v>35</v>
      </c>
      <c r="V6" s="7">
        <v>1</v>
      </c>
      <c r="W6" s="7" t="s">
        <v>582</v>
      </c>
      <c r="X6" s="7">
        <v>40</v>
      </c>
      <c r="Y6" s="4">
        <v>90</v>
      </c>
      <c r="Z6" s="7">
        <f t="shared" ref="Z6:Z10" si="7">ROUND(85*Y6/100,0)</f>
        <v>77</v>
      </c>
    </row>
    <row r="7" spans="1:26">
      <c r="A7" s="7">
        <v>6</v>
      </c>
      <c r="B7" s="7">
        <f>B6+$AB$2</f>
        <v>650</v>
      </c>
      <c r="C7" s="7">
        <f t="shared" si="4"/>
        <v>11</v>
      </c>
      <c r="D7" s="7">
        <v>2</v>
      </c>
      <c r="E7" s="7">
        <v>1.33333333333333</v>
      </c>
      <c r="F7" s="7">
        <f t="shared" si="0"/>
        <v>9</v>
      </c>
      <c r="G7" s="7">
        <f t="shared" si="1"/>
        <v>12</v>
      </c>
      <c r="H7" s="7">
        <v>1</v>
      </c>
      <c r="I7" s="7">
        <f t="shared" si="5"/>
        <v>102</v>
      </c>
      <c r="J7" s="7">
        <v>15</v>
      </c>
      <c r="K7" s="7"/>
      <c r="L7" s="7"/>
      <c r="M7" s="7">
        <v>5</v>
      </c>
      <c r="N7" s="7">
        <f t="shared" si="6"/>
        <v>102</v>
      </c>
      <c r="O7" s="7">
        <v>15</v>
      </c>
      <c r="P7" s="7"/>
      <c r="Q7" s="7"/>
      <c r="R7" s="7"/>
      <c r="S7" s="7">
        <f>SUM(J7,Q7,,O7,L7)</f>
        <v>30</v>
      </c>
      <c r="T7" s="7"/>
      <c r="U7" s="7">
        <f t="shared" si="3"/>
        <v>30</v>
      </c>
      <c r="V7" s="7">
        <v>2</v>
      </c>
      <c r="W7" s="7" t="s">
        <v>583</v>
      </c>
      <c r="X7" s="7">
        <v>90</v>
      </c>
      <c r="Y7" s="4">
        <v>3</v>
      </c>
      <c r="Z7" s="7">
        <f t="shared" si="7"/>
        <v>3</v>
      </c>
    </row>
    <row r="8" spans="1:26">
      <c r="A8" s="7">
        <v>7</v>
      </c>
      <c r="B8" s="7">
        <f>B7+$AB$2</f>
        <v>760</v>
      </c>
      <c r="C8" s="7">
        <f t="shared" si="4"/>
        <v>12</v>
      </c>
      <c r="D8" s="7">
        <v>3</v>
      </c>
      <c r="E8" s="7">
        <v>2.33333333333333</v>
      </c>
      <c r="F8" s="7">
        <f t="shared" si="0"/>
        <v>10</v>
      </c>
      <c r="G8" s="7">
        <f t="shared" si="1"/>
        <v>23</v>
      </c>
      <c r="H8" s="7">
        <v>2</v>
      </c>
      <c r="I8" s="7">
        <v>102</v>
      </c>
      <c r="J8" s="7">
        <v>15</v>
      </c>
      <c r="K8" s="7">
        <v>106</v>
      </c>
      <c r="L8" s="7">
        <v>1</v>
      </c>
      <c r="M8" s="7">
        <v>6</v>
      </c>
      <c r="N8" s="7">
        <v>102</v>
      </c>
      <c r="O8" s="7">
        <v>15</v>
      </c>
      <c r="P8" s="7">
        <v>106</v>
      </c>
      <c r="Q8" s="7">
        <v>1</v>
      </c>
      <c r="R8" s="7"/>
      <c r="S8" s="7"/>
      <c r="T8" s="7"/>
      <c r="U8" s="7">
        <f t="shared" si="3"/>
        <v>31</v>
      </c>
      <c r="V8" s="7">
        <v>3</v>
      </c>
      <c r="W8" s="7" t="s">
        <v>584</v>
      </c>
      <c r="X8" s="7">
        <v>50</v>
      </c>
      <c r="Y8" s="4">
        <v>0</v>
      </c>
      <c r="Z8" s="7">
        <f t="shared" si="7"/>
        <v>0</v>
      </c>
    </row>
    <row r="9" spans="1:26">
      <c r="A9" s="7">
        <v>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>
        <f t="shared" si="3"/>
        <v>15</v>
      </c>
      <c r="V9" s="7">
        <v>4</v>
      </c>
      <c r="W9" s="7" t="s">
        <v>585</v>
      </c>
      <c r="X9" s="7">
        <v>35</v>
      </c>
      <c r="Y9" s="4">
        <v>3</v>
      </c>
      <c r="Z9" s="7">
        <f t="shared" si="7"/>
        <v>3</v>
      </c>
    </row>
    <row r="10" spans="1:26">
      <c r="A10" s="7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>
        <f t="shared" si="3"/>
        <v>15</v>
      </c>
      <c r="V10" s="7">
        <v>5</v>
      </c>
      <c r="W10" s="7" t="s">
        <v>586</v>
      </c>
      <c r="X10" s="7">
        <v>70</v>
      </c>
      <c r="Y10" s="4">
        <v>4</v>
      </c>
      <c r="Z10" s="7">
        <f t="shared" si="7"/>
        <v>3</v>
      </c>
    </row>
    <row r="11" spans="1:25">
      <c r="A11" s="7">
        <v>10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>
        <f t="shared" si="3"/>
        <v>15</v>
      </c>
      <c r="V11" s="7"/>
      <c r="Y11" s="4"/>
    </row>
    <row r="12" spans="1:25">
      <c r="A12" s="7">
        <v>11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 t="s">
        <v>587</v>
      </c>
      <c r="W12" s="4">
        <v>85</v>
      </c>
      <c r="Y12" s="4"/>
    </row>
    <row r="13" spans="1:25">
      <c r="A13" s="7">
        <v>12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 t="s">
        <v>588</v>
      </c>
      <c r="W13" s="4">
        <v>60</v>
      </c>
      <c r="Y13" s="4"/>
    </row>
    <row r="14" spans="1:25">
      <c r="A14" s="7">
        <v>13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Y14" s="4"/>
    </row>
    <row r="15" spans="1:25">
      <c r="A15" s="7">
        <v>14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Y15" s="4"/>
    </row>
    <row r="16" spans="1:25">
      <c r="A16" s="7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Y16" s="4"/>
    </row>
    <row r="17" spans="1:25">
      <c r="A17" s="7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Y17" s="4"/>
    </row>
    <row r="18" spans="1:25">
      <c r="A18" s="7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Y18" s="4"/>
    </row>
    <row r="19" spans="1:25">
      <c r="A19" s="7">
        <v>18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Y19" s="4"/>
    </row>
    <row r="20" spans="1:25">
      <c r="A20" s="7">
        <v>19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Y20" s="4"/>
    </row>
    <row r="21" spans="1:25">
      <c r="A21" s="7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Y21" s="4"/>
    </row>
    <row r="22" spans="1:25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</row>
    <row r="23" spans="1:25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</row>
    <row r="24" spans="1:25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</row>
    <row r="25" spans="1:25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</row>
    <row r="26" spans="1:25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</row>
    <row r="27" spans="1:25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</row>
    <row r="28" spans="1:25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</row>
    <row r="29" spans="1:25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</row>
    <row r="30" spans="1:25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</row>
    <row r="31" spans="1:25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</row>
    <row r="32" spans="1:25">
      <c r="A32" s="7"/>
      <c r="B32" s="7">
        <v>2020</v>
      </c>
      <c r="C32" s="7">
        <f>ROUNDDOWN(B32/35,0)</f>
        <v>57</v>
      </c>
      <c r="D32" s="7"/>
      <c r="E32" s="7"/>
      <c r="F32" s="7">
        <f>ROUND(C32*$Y$6/100,0)</f>
        <v>51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246</v>
      </c>
      <c r="V32" s="7"/>
      <c r="Y32" s="4"/>
    </row>
    <row r="33" spans="1:25">
      <c r="A33" s="7"/>
      <c r="B33" s="7">
        <f>B32+960</f>
        <v>2980</v>
      </c>
      <c r="C33" s="7">
        <f>B33/X6</f>
        <v>74.5</v>
      </c>
      <c r="D33" s="7"/>
      <c r="E33" s="7"/>
      <c r="F33" s="7">
        <f>ROUND(C33*$Y$6/100,0)</f>
        <v>67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</row>
    <row r="34" spans="1: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</row>
    <row r="35" spans="1: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</row>
    <row r="36" spans="1: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</row>
    <row r="37" spans="1: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</row>
    <row r="38" spans="1:25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</row>
    <row r="39" spans="1:25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</row>
    <row r="40" spans="1:25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8">IF(I2="","",_xlfn.TEXTJOIN(",",TRUE,I2:J2))</f>
        <v>101,10</v>
      </c>
      <c r="J40" s="7" t="str">
        <f t="shared" ref="J40:J69" si="9">IF(I40="","",_xlfn.TEXTJOIN(",",TRUE,I40,H40))</f>
        <v>101,10,1</v>
      </c>
      <c r="K40" s="7" t="str">
        <f t="shared" si="8"/>
        <v/>
      </c>
      <c r="L40" s="7" t="str">
        <f t="shared" ref="L40:L69" si="10">IF(K40="","",_xlfn.TEXTJOIN(",",TRUE,K40,H40))</f>
        <v/>
      </c>
      <c r="M40" s="28" t="str">
        <f t="shared" ref="M40:M69" si="11">_xlfn.TEXTJOIN(";",TRUE,J40,L40)</f>
        <v>101,10,1</v>
      </c>
      <c r="N40" s="7" t="str">
        <f t="shared" si="8"/>
        <v>101,10</v>
      </c>
      <c r="O40" s="7" t="str">
        <f t="shared" ref="O40:O69" si="12">IF(N40="","",N40&amp;","&amp;H40)</f>
        <v>101,10,1</v>
      </c>
      <c r="P40" s="7" t="str">
        <f t="shared" ref="P40:P69" si="13">IF(P2="","",P2&amp;","&amp;Q2)</f>
        <v/>
      </c>
      <c r="Q40" s="7" t="str">
        <f t="shared" ref="Q40:Q69" si="14">IF(P40="","",P40&amp;","&amp;H40)</f>
        <v/>
      </c>
      <c r="R40" s="28" t="str">
        <f t="shared" ref="R40:R69" si="15">_xlfn.TEXTJOIN(";",TRUE,O40,Q40)</f>
        <v>101,10,1</v>
      </c>
      <c r="S40" s="7"/>
      <c r="T40" s="7"/>
      <c r="U40" s="7"/>
      <c r="V40" s="7"/>
      <c r="Y40" s="4"/>
    </row>
    <row r="41" spans="1:25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16">IF(I3="","",_xlfn.TEXTJOIN(",",TRUE,I3:J3))</f>
        <v>101,10</v>
      </c>
      <c r="J41" s="7" t="str">
        <f t="shared" si="9"/>
        <v>101,10,2</v>
      </c>
      <c r="K41" s="7" t="str">
        <f t="shared" si="16"/>
        <v/>
      </c>
      <c r="L41" s="7" t="str">
        <f t="shared" si="10"/>
        <v/>
      </c>
      <c r="M41" s="28" t="str">
        <f t="shared" si="11"/>
        <v>101,10,2</v>
      </c>
      <c r="N41" s="7" t="str">
        <f t="shared" si="16"/>
        <v>101,10</v>
      </c>
      <c r="O41" s="7" t="str">
        <f t="shared" si="12"/>
        <v>101,10,2</v>
      </c>
      <c r="P41" s="7" t="str">
        <f t="shared" si="13"/>
        <v/>
      </c>
      <c r="Q41" s="7" t="str">
        <f t="shared" si="14"/>
        <v/>
      </c>
      <c r="R41" s="28" t="str">
        <f t="shared" si="15"/>
        <v>101,10,2</v>
      </c>
      <c r="S41" s="7"/>
      <c r="T41" s="7"/>
      <c r="U41" s="7"/>
      <c r="V41" s="7"/>
      <c r="Y41" s="4"/>
    </row>
    <row r="42" spans="1:25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17">IF(I4="","",_xlfn.TEXTJOIN(",",TRUE,I4:J4))</f>
        <v>101,10</v>
      </c>
      <c r="J42" s="7" t="str">
        <f t="shared" si="9"/>
        <v>101,10,3</v>
      </c>
      <c r="K42" s="7" t="str">
        <f t="shared" si="17"/>
        <v/>
      </c>
      <c r="L42" s="7" t="str">
        <f t="shared" si="10"/>
        <v/>
      </c>
      <c r="M42" s="28" t="str">
        <f t="shared" si="11"/>
        <v>101,10,3</v>
      </c>
      <c r="N42" s="7" t="str">
        <f t="shared" si="17"/>
        <v>101,10</v>
      </c>
      <c r="O42" s="7" t="str">
        <f t="shared" si="12"/>
        <v>101,10,3</v>
      </c>
      <c r="P42" s="7" t="str">
        <f t="shared" si="13"/>
        <v/>
      </c>
      <c r="Q42" s="7" t="str">
        <f t="shared" si="14"/>
        <v/>
      </c>
      <c r="R42" s="28" t="str">
        <f t="shared" si="15"/>
        <v>101,10,3</v>
      </c>
      <c r="S42" s="7"/>
      <c r="T42" s="7"/>
      <c r="U42" s="7"/>
      <c r="V42" s="7"/>
      <c r="Y42" s="4"/>
    </row>
    <row r="43" spans="1:25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>IF(I5="","",_xlfn.TEXTJOIN(",",TRUE,I5:J5))</f>
        <v>101,10</v>
      </c>
      <c r="J43" s="7" t="str">
        <f t="shared" si="9"/>
        <v>101,10,4</v>
      </c>
      <c r="K43" s="7" t="str">
        <f>IF(K5="","",_xlfn.TEXTJOIN(",",TRUE,K5:L5))</f>
        <v>105,5</v>
      </c>
      <c r="L43" s="7" t="str">
        <f t="shared" si="10"/>
        <v>105,5,4</v>
      </c>
      <c r="M43" s="28" t="str">
        <f t="shared" si="11"/>
        <v>101,10,4;105,5,4</v>
      </c>
      <c r="N43" s="7" t="str">
        <f>IF(N5="","",_xlfn.TEXTJOIN(",",TRUE,N5:O5))</f>
        <v>101,10</v>
      </c>
      <c r="O43" s="7" t="str">
        <f t="shared" si="12"/>
        <v>101,10,4</v>
      </c>
      <c r="P43" s="7" t="str">
        <f t="shared" si="13"/>
        <v>105,5</v>
      </c>
      <c r="Q43" s="7" t="str">
        <f t="shared" si="14"/>
        <v>105,5,4</v>
      </c>
      <c r="R43" s="28" t="str">
        <f t="shared" si="15"/>
        <v>101,10,4;105,5,4</v>
      </c>
      <c r="S43" s="7"/>
      <c r="T43" s="7"/>
      <c r="U43" s="7"/>
      <c r="V43" s="7"/>
      <c r="Y43" s="4"/>
    </row>
    <row r="44" spans="1:25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>IF(I6="","",_xlfn.TEXTJOIN(",",TRUE,I6:J6))</f>
        <v>102,15</v>
      </c>
      <c r="J44" s="7" t="str">
        <f t="shared" si="9"/>
        <v>102,15,5</v>
      </c>
      <c r="K44" s="7" t="str">
        <f>IF(K6="","",_xlfn.TEXTJOIN(",",TRUE,K6:L6))</f>
        <v/>
      </c>
      <c r="L44" s="7" t="str">
        <f t="shared" si="10"/>
        <v/>
      </c>
      <c r="M44" s="28" t="str">
        <f t="shared" si="11"/>
        <v>102,15,5</v>
      </c>
      <c r="N44" s="7" t="str">
        <f>IF(N6="","",_xlfn.TEXTJOIN(",",TRUE,N6:O6))</f>
        <v>102,15</v>
      </c>
      <c r="O44" s="7" t="str">
        <f t="shared" si="12"/>
        <v>102,15,5</v>
      </c>
      <c r="P44" s="7" t="str">
        <f t="shared" si="13"/>
        <v/>
      </c>
      <c r="Q44" s="7" t="str">
        <f t="shared" si="14"/>
        <v/>
      </c>
      <c r="R44" s="28" t="str">
        <f t="shared" si="15"/>
        <v>102,15,5</v>
      </c>
      <c r="S44" s="7"/>
      <c r="T44" s="7"/>
      <c r="U44" s="7"/>
      <c r="V44" s="7"/>
      <c r="Y44" s="4"/>
    </row>
    <row r="45" spans="1:25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18">IF(I7="","",_xlfn.TEXTJOIN(",",TRUE,I7:J7))</f>
        <v>102,15</v>
      </c>
      <c r="J45" s="7" t="str">
        <f t="shared" si="9"/>
        <v>102,15,6</v>
      </c>
      <c r="K45" s="7" t="str">
        <f t="shared" si="18"/>
        <v/>
      </c>
      <c r="L45" s="7" t="str">
        <f t="shared" si="10"/>
        <v/>
      </c>
      <c r="M45" s="28" t="str">
        <f t="shared" si="11"/>
        <v>102,15,6</v>
      </c>
      <c r="N45" s="7" t="str">
        <f t="shared" si="18"/>
        <v>102,15</v>
      </c>
      <c r="O45" s="7" t="str">
        <f t="shared" si="12"/>
        <v>102,15,6</v>
      </c>
      <c r="P45" s="7" t="str">
        <f t="shared" si="13"/>
        <v/>
      </c>
      <c r="Q45" s="7" t="str">
        <f t="shared" si="14"/>
        <v/>
      </c>
      <c r="R45" s="28" t="str">
        <f t="shared" si="15"/>
        <v>102,15,6</v>
      </c>
      <c r="S45" s="7"/>
      <c r="T45" s="7"/>
      <c r="U45" s="7"/>
      <c r="V45" s="7"/>
      <c r="Y45" s="4"/>
    </row>
    <row r="46" spans="1:25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19">IF(I8="","",_xlfn.TEXTJOIN(",",TRUE,I8:J8))</f>
        <v>102,15</v>
      </c>
      <c r="J46" s="7" t="str">
        <f t="shared" si="9"/>
        <v>102,15,7</v>
      </c>
      <c r="K46" s="7" t="str">
        <f t="shared" si="19"/>
        <v>106,1</v>
      </c>
      <c r="L46" s="7" t="str">
        <f t="shared" si="10"/>
        <v>106,1,7</v>
      </c>
      <c r="M46" s="28" t="str">
        <f t="shared" si="11"/>
        <v>102,15,7;106,1,7</v>
      </c>
      <c r="N46" s="7" t="str">
        <f t="shared" si="19"/>
        <v>102,15</v>
      </c>
      <c r="O46" s="7" t="str">
        <f t="shared" si="12"/>
        <v>102,15,7</v>
      </c>
      <c r="P46" s="7" t="str">
        <f t="shared" si="13"/>
        <v>106,1</v>
      </c>
      <c r="Q46" s="7" t="str">
        <f t="shared" si="14"/>
        <v>106,1,7</v>
      </c>
      <c r="R46" s="28" t="str">
        <f t="shared" si="15"/>
        <v>102,15,7;106,1,7</v>
      </c>
      <c r="S46" s="7"/>
      <c r="T46" s="7"/>
      <c r="U46" s="7"/>
      <c r="V46" s="7"/>
      <c r="Y46" s="4"/>
    </row>
    <row r="47" spans="1:25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0">IF(I9="","",_xlfn.TEXTJOIN(",",TRUE,I9:J9))</f>
        <v/>
      </c>
      <c r="J47" s="7" t="str">
        <f t="shared" si="9"/>
        <v/>
      </c>
      <c r="K47" s="7" t="str">
        <f t="shared" si="20"/>
        <v/>
      </c>
      <c r="L47" s="7" t="str">
        <f t="shared" si="10"/>
        <v/>
      </c>
      <c r="M47" s="28" t="str">
        <f t="shared" si="11"/>
        <v/>
      </c>
      <c r="N47" s="7" t="str">
        <f t="shared" si="20"/>
        <v/>
      </c>
      <c r="O47" s="7" t="str">
        <f t="shared" si="12"/>
        <v/>
      </c>
      <c r="P47" s="7" t="str">
        <f t="shared" si="13"/>
        <v/>
      </c>
      <c r="Q47" s="7" t="str">
        <f t="shared" si="14"/>
        <v/>
      </c>
      <c r="R47" s="28" t="str">
        <f t="shared" si="15"/>
        <v/>
      </c>
      <c r="S47" s="7"/>
      <c r="T47" s="7"/>
      <c r="U47" s="7"/>
      <c r="V47" s="7"/>
      <c r="Y47" s="4"/>
    </row>
    <row r="48" spans="1:25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1">IF(I10="","",_xlfn.TEXTJOIN(",",TRUE,I10:J10))</f>
        <v/>
      </c>
      <c r="J48" s="7" t="str">
        <f t="shared" si="9"/>
        <v/>
      </c>
      <c r="K48" s="7" t="str">
        <f t="shared" si="21"/>
        <v/>
      </c>
      <c r="L48" s="7" t="str">
        <f t="shared" si="10"/>
        <v/>
      </c>
      <c r="M48" s="28" t="str">
        <f t="shared" si="11"/>
        <v/>
      </c>
      <c r="N48" s="7" t="str">
        <f t="shared" si="21"/>
        <v/>
      </c>
      <c r="O48" s="7" t="str">
        <f t="shared" si="12"/>
        <v/>
      </c>
      <c r="P48" s="7" t="str">
        <f t="shared" si="13"/>
        <v/>
      </c>
      <c r="Q48" s="7" t="str">
        <f t="shared" si="14"/>
        <v/>
      </c>
      <c r="R48" s="28" t="str">
        <f t="shared" si="15"/>
        <v/>
      </c>
      <c r="S48" s="7"/>
      <c r="T48" s="7"/>
      <c r="U48" s="7"/>
      <c r="V48" s="7"/>
      <c r="Y48" s="4"/>
    </row>
    <row r="49" spans="1:25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2">IF(I11="","",_xlfn.TEXTJOIN(",",TRUE,I11:J11))</f>
        <v/>
      </c>
      <c r="J49" s="7" t="str">
        <f t="shared" si="9"/>
        <v/>
      </c>
      <c r="K49" s="7" t="str">
        <f t="shared" si="22"/>
        <v/>
      </c>
      <c r="L49" s="7" t="str">
        <f t="shared" si="10"/>
        <v/>
      </c>
      <c r="M49" s="28" t="str">
        <f t="shared" si="11"/>
        <v/>
      </c>
      <c r="N49" s="7" t="str">
        <f t="shared" si="22"/>
        <v/>
      </c>
      <c r="O49" s="7" t="str">
        <f t="shared" si="12"/>
        <v/>
      </c>
      <c r="P49" s="7" t="str">
        <f t="shared" si="13"/>
        <v/>
      </c>
      <c r="Q49" s="7" t="str">
        <f t="shared" si="14"/>
        <v/>
      </c>
      <c r="R49" s="28" t="str">
        <f t="shared" si="15"/>
        <v/>
      </c>
      <c r="S49" s="7"/>
      <c r="T49" s="7"/>
      <c r="U49" s="7"/>
      <c r="V49" s="7"/>
      <c r="Y49" s="4"/>
    </row>
    <row r="50" spans="1:25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3">IF(I12="","",_xlfn.TEXTJOIN(",",TRUE,I12:J12))</f>
        <v/>
      </c>
      <c r="J50" s="7" t="str">
        <f t="shared" si="9"/>
        <v/>
      </c>
      <c r="K50" s="7" t="str">
        <f t="shared" si="23"/>
        <v/>
      </c>
      <c r="L50" s="7" t="str">
        <f t="shared" si="10"/>
        <v/>
      </c>
      <c r="M50" s="28" t="str">
        <f t="shared" si="11"/>
        <v/>
      </c>
      <c r="N50" s="7" t="str">
        <f t="shared" si="23"/>
        <v/>
      </c>
      <c r="O50" s="7" t="str">
        <f t="shared" si="12"/>
        <v/>
      </c>
      <c r="P50" s="7" t="str">
        <f t="shared" si="13"/>
        <v/>
      </c>
      <c r="Q50" s="7" t="str">
        <f t="shared" si="14"/>
        <v/>
      </c>
      <c r="R50" s="28" t="str">
        <f t="shared" si="15"/>
        <v/>
      </c>
      <c r="S50" s="7"/>
      <c r="T50" s="7"/>
      <c r="U50" s="7"/>
      <c r="V50" s="7"/>
      <c r="Y50" s="4"/>
    </row>
    <row r="51" spans="1:25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24">IF(I13="","",_xlfn.TEXTJOIN(",",TRUE,I13:J13))</f>
        <v/>
      </c>
      <c r="J51" s="7" t="str">
        <f t="shared" si="9"/>
        <v/>
      </c>
      <c r="K51" s="7" t="str">
        <f t="shared" si="24"/>
        <v/>
      </c>
      <c r="L51" s="7" t="str">
        <f t="shared" si="10"/>
        <v/>
      </c>
      <c r="M51" s="28" t="str">
        <f t="shared" si="11"/>
        <v/>
      </c>
      <c r="N51" s="7" t="str">
        <f t="shared" si="24"/>
        <v/>
      </c>
      <c r="O51" s="7" t="str">
        <f t="shared" si="12"/>
        <v/>
      </c>
      <c r="P51" s="7" t="str">
        <f t="shared" si="13"/>
        <v/>
      </c>
      <c r="Q51" s="7" t="str">
        <f t="shared" si="14"/>
        <v/>
      </c>
      <c r="R51" s="28" t="str">
        <f t="shared" si="15"/>
        <v/>
      </c>
      <c r="S51" s="7"/>
      <c r="T51" s="7"/>
      <c r="U51" s="7"/>
      <c r="V51" s="7"/>
      <c r="Y51" s="4"/>
    </row>
    <row r="52" spans="1:25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25">IF(I14="","",_xlfn.TEXTJOIN(",",TRUE,I14:J14))</f>
        <v/>
      </c>
      <c r="J52" s="7" t="str">
        <f t="shared" si="9"/>
        <v/>
      </c>
      <c r="K52" s="7" t="str">
        <f t="shared" si="25"/>
        <v/>
      </c>
      <c r="L52" s="7" t="str">
        <f t="shared" si="10"/>
        <v/>
      </c>
      <c r="M52" s="28" t="str">
        <f t="shared" si="11"/>
        <v/>
      </c>
      <c r="N52" s="7" t="str">
        <f t="shared" si="25"/>
        <v/>
      </c>
      <c r="O52" s="7" t="str">
        <f t="shared" si="12"/>
        <v/>
      </c>
      <c r="P52" s="7" t="str">
        <f t="shared" si="13"/>
        <v/>
      </c>
      <c r="Q52" s="7" t="str">
        <f t="shared" si="14"/>
        <v/>
      </c>
      <c r="R52" s="28" t="str">
        <f t="shared" si="15"/>
        <v/>
      </c>
      <c r="S52" s="7"/>
      <c r="T52" s="7"/>
      <c r="U52" s="7"/>
      <c r="V52" s="7"/>
      <c r="Y52" s="4"/>
    </row>
    <row r="53" spans="1:25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26">IF(I15="","",_xlfn.TEXTJOIN(",",TRUE,I15:J15))</f>
        <v/>
      </c>
      <c r="J53" s="7" t="str">
        <f t="shared" si="9"/>
        <v/>
      </c>
      <c r="K53" s="7" t="str">
        <f t="shared" si="26"/>
        <v/>
      </c>
      <c r="L53" s="7" t="str">
        <f t="shared" si="10"/>
        <v/>
      </c>
      <c r="M53" s="28" t="str">
        <f t="shared" si="11"/>
        <v/>
      </c>
      <c r="N53" s="7" t="str">
        <f t="shared" si="26"/>
        <v/>
      </c>
      <c r="O53" s="7" t="str">
        <f t="shared" si="12"/>
        <v/>
      </c>
      <c r="P53" s="7" t="str">
        <f t="shared" si="13"/>
        <v/>
      </c>
      <c r="Q53" s="7" t="str">
        <f t="shared" si="14"/>
        <v/>
      </c>
      <c r="R53" s="28" t="str">
        <f t="shared" si="15"/>
        <v/>
      </c>
      <c r="S53" s="7"/>
      <c r="T53" s="7"/>
      <c r="U53" s="7"/>
      <c r="V53" s="7"/>
      <c r="Y53" s="4"/>
    </row>
    <row r="54" spans="1:25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27">IF(I16="","",_xlfn.TEXTJOIN(",",TRUE,I16:J16))</f>
        <v/>
      </c>
      <c r="J54" s="7" t="str">
        <f t="shared" si="9"/>
        <v/>
      </c>
      <c r="K54" s="7" t="str">
        <f t="shared" si="27"/>
        <v/>
      </c>
      <c r="L54" s="7" t="str">
        <f t="shared" si="10"/>
        <v/>
      </c>
      <c r="M54" s="28" t="str">
        <f t="shared" si="11"/>
        <v/>
      </c>
      <c r="N54" s="7" t="str">
        <f t="shared" si="27"/>
        <v/>
      </c>
      <c r="O54" s="7" t="str">
        <f t="shared" si="12"/>
        <v/>
      </c>
      <c r="P54" s="7" t="str">
        <f t="shared" si="13"/>
        <v/>
      </c>
      <c r="Q54" s="7" t="str">
        <f t="shared" si="14"/>
        <v/>
      </c>
      <c r="R54" s="28" t="str">
        <f t="shared" si="15"/>
        <v/>
      </c>
      <c r="S54" s="7"/>
      <c r="T54" s="7"/>
      <c r="U54" s="7"/>
      <c r="V54" s="7"/>
      <c r="Y54" s="4"/>
    </row>
    <row r="55" spans="1:25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28">IF(I17="","",_xlfn.TEXTJOIN(",",TRUE,I17:J17))</f>
        <v/>
      </c>
      <c r="J55" s="7" t="str">
        <f t="shared" si="9"/>
        <v/>
      </c>
      <c r="K55" s="7" t="str">
        <f t="shared" si="28"/>
        <v/>
      </c>
      <c r="L55" s="7" t="str">
        <f t="shared" si="10"/>
        <v/>
      </c>
      <c r="M55" s="28" t="str">
        <f t="shared" si="11"/>
        <v/>
      </c>
      <c r="N55" s="7" t="str">
        <f t="shared" si="28"/>
        <v/>
      </c>
      <c r="O55" s="7" t="str">
        <f t="shared" si="12"/>
        <v/>
      </c>
      <c r="P55" s="7" t="str">
        <f t="shared" si="13"/>
        <v/>
      </c>
      <c r="Q55" s="7" t="str">
        <f t="shared" si="14"/>
        <v/>
      </c>
      <c r="R55" s="28" t="str">
        <f t="shared" si="15"/>
        <v/>
      </c>
      <c r="S55" s="7"/>
      <c r="T55" s="7"/>
      <c r="U55" s="7"/>
      <c r="V55" s="7"/>
      <c r="Y55" s="4"/>
    </row>
    <row r="56" spans="1:25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29">IF(I18="","",_xlfn.TEXTJOIN(",",TRUE,I18:J18))</f>
        <v/>
      </c>
      <c r="J56" s="7" t="str">
        <f t="shared" si="9"/>
        <v/>
      </c>
      <c r="K56" s="7" t="str">
        <f t="shared" si="29"/>
        <v/>
      </c>
      <c r="L56" s="7" t="str">
        <f t="shared" si="10"/>
        <v/>
      </c>
      <c r="M56" s="28" t="str">
        <f t="shared" si="11"/>
        <v/>
      </c>
      <c r="N56" s="7" t="str">
        <f t="shared" si="29"/>
        <v/>
      </c>
      <c r="O56" s="7" t="str">
        <f t="shared" si="12"/>
        <v/>
      </c>
      <c r="P56" s="7" t="str">
        <f t="shared" si="13"/>
        <v/>
      </c>
      <c r="Q56" s="7" t="str">
        <f t="shared" si="14"/>
        <v/>
      </c>
      <c r="R56" s="28" t="str">
        <f t="shared" si="15"/>
        <v/>
      </c>
      <c r="S56" s="7"/>
      <c r="T56" s="7"/>
      <c r="U56" s="7"/>
      <c r="V56" s="7"/>
      <c r="Y56" s="4"/>
    </row>
    <row r="57" spans="1:25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0">IF(I19="","",_xlfn.TEXTJOIN(",",TRUE,I19:J19))</f>
        <v/>
      </c>
      <c r="J57" s="7" t="str">
        <f t="shared" si="9"/>
        <v/>
      </c>
      <c r="K57" s="7" t="str">
        <f t="shared" si="30"/>
        <v/>
      </c>
      <c r="L57" s="7" t="str">
        <f t="shared" si="10"/>
        <v/>
      </c>
      <c r="M57" s="28" t="str">
        <f t="shared" si="11"/>
        <v/>
      </c>
      <c r="N57" s="7" t="str">
        <f t="shared" si="30"/>
        <v/>
      </c>
      <c r="O57" s="7" t="str">
        <f t="shared" si="12"/>
        <v/>
      </c>
      <c r="P57" s="7" t="str">
        <f t="shared" si="13"/>
        <v/>
      </c>
      <c r="Q57" s="7" t="str">
        <f t="shared" si="14"/>
        <v/>
      </c>
      <c r="R57" s="28" t="str">
        <f t="shared" si="15"/>
        <v/>
      </c>
      <c r="S57" s="7"/>
      <c r="T57" s="7"/>
      <c r="U57" s="7"/>
      <c r="V57" s="7"/>
      <c r="Y57" s="4"/>
    </row>
    <row r="58" spans="1:25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1">IF(I20="","",_xlfn.TEXTJOIN(",",TRUE,I20:J20))</f>
        <v/>
      </c>
      <c r="J58" s="7" t="str">
        <f t="shared" si="9"/>
        <v/>
      </c>
      <c r="K58" s="7" t="str">
        <f t="shared" si="31"/>
        <v/>
      </c>
      <c r="L58" s="7" t="str">
        <f t="shared" si="10"/>
        <v/>
      </c>
      <c r="M58" s="28" t="str">
        <f t="shared" si="11"/>
        <v/>
      </c>
      <c r="N58" s="7" t="str">
        <f t="shared" si="31"/>
        <v/>
      </c>
      <c r="O58" s="7" t="str">
        <f t="shared" si="12"/>
        <v/>
      </c>
      <c r="P58" s="7" t="str">
        <f t="shared" si="13"/>
        <v/>
      </c>
      <c r="Q58" s="7" t="str">
        <f t="shared" si="14"/>
        <v/>
      </c>
      <c r="R58" s="28" t="str">
        <f t="shared" si="15"/>
        <v/>
      </c>
      <c r="S58" s="7"/>
      <c r="T58" s="7"/>
      <c r="U58" s="7"/>
      <c r="V58" s="7"/>
      <c r="Y58" s="4"/>
    </row>
    <row r="59" spans="1:25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2">IF(I21="","",_xlfn.TEXTJOIN(",",TRUE,I21:J21))</f>
        <v/>
      </c>
      <c r="J59" s="7" t="str">
        <f t="shared" si="9"/>
        <v/>
      </c>
      <c r="K59" s="7" t="str">
        <f t="shared" si="32"/>
        <v/>
      </c>
      <c r="L59" s="7" t="str">
        <f t="shared" si="10"/>
        <v/>
      </c>
      <c r="M59" s="28" t="str">
        <f t="shared" si="11"/>
        <v/>
      </c>
      <c r="N59" s="7" t="str">
        <f t="shared" si="32"/>
        <v/>
      </c>
      <c r="O59" s="7" t="str">
        <f t="shared" si="12"/>
        <v/>
      </c>
      <c r="P59" s="7" t="str">
        <f t="shared" si="13"/>
        <v/>
      </c>
      <c r="Q59" s="7" t="str">
        <f t="shared" si="14"/>
        <v/>
      </c>
      <c r="R59" s="28" t="str">
        <f t="shared" si="15"/>
        <v/>
      </c>
      <c r="S59" s="7"/>
      <c r="T59" s="7"/>
      <c r="U59" s="7"/>
      <c r="V59" s="7"/>
      <c r="Y59" s="4"/>
    </row>
    <row r="60" spans="1:25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3">IF(I22="","",_xlfn.TEXTJOIN(",",TRUE,I22:J22))</f>
        <v/>
      </c>
      <c r="J60" s="7" t="str">
        <f t="shared" si="9"/>
        <v/>
      </c>
      <c r="K60" s="7" t="str">
        <f t="shared" si="33"/>
        <v/>
      </c>
      <c r="L60" s="7" t="str">
        <f t="shared" si="10"/>
        <v/>
      </c>
      <c r="M60" s="28" t="str">
        <f t="shared" si="11"/>
        <v/>
      </c>
      <c r="N60" s="7" t="str">
        <f t="shared" si="33"/>
        <v/>
      </c>
      <c r="O60" s="7" t="str">
        <f t="shared" si="12"/>
        <v/>
      </c>
      <c r="P60" s="7" t="str">
        <f t="shared" si="13"/>
        <v/>
      </c>
      <c r="Q60" s="7" t="str">
        <f t="shared" si="14"/>
        <v/>
      </c>
      <c r="R60" s="28" t="str">
        <f t="shared" si="15"/>
        <v/>
      </c>
      <c r="S60" s="7"/>
      <c r="T60" s="7"/>
      <c r="U60" s="7"/>
      <c r="V60" s="7"/>
      <c r="Y60" s="4"/>
    </row>
    <row r="61" spans="1:25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34">IF(I23="","",_xlfn.TEXTJOIN(",",TRUE,I23:J23))</f>
        <v/>
      </c>
      <c r="J61" s="7" t="str">
        <f t="shared" si="9"/>
        <v/>
      </c>
      <c r="K61" s="7" t="str">
        <f t="shared" si="34"/>
        <v/>
      </c>
      <c r="L61" s="7" t="str">
        <f t="shared" si="10"/>
        <v/>
      </c>
      <c r="M61" s="28" t="str">
        <f t="shared" si="11"/>
        <v/>
      </c>
      <c r="N61" s="7" t="str">
        <f t="shared" si="34"/>
        <v/>
      </c>
      <c r="O61" s="7" t="str">
        <f t="shared" si="12"/>
        <v/>
      </c>
      <c r="P61" s="7" t="str">
        <f t="shared" si="13"/>
        <v/>
      </c>
      <c r="Q61" s="7" t="str">
        <f t="shared" si="14"/>
        <v/>
      </c>
      <c r="R61" s="28" t="str">
        <f t="shared" si="15"/>
        <v/>
      </c>
      <c r="S61" s="7"/>
      <c r="T61" s="7"/>
      <c r="U61" s="7"/>
      <c r="V61" s="7"/>
      <c r="Y61" s="4"/>
    </row>
    <row r="62" spans="1:25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35">IF(I24="","",_xlfn.TEXTJOIN(",",TRUE,I24:J24))</f>
        <v/>
      </c>
      <c r="J62" s="7" t="str">
        <f t="shared" si="9"/>
        <v/>
      </c>
      <c r="K62" s="7" t="str">
        <f t="shared" si="35"/>
        <v/>
      </c>
      <c r="L62" s="7" t="str">
        <f t="shared" si="10"/>
        <v/>
      </c>
      <c r="M62" s="28" t="str">
        <f t="shared" si="11"/>
        <v/>
      </c>
      <c r="N62" s="7" t="str">
        <f t="shared" si="35"/>
        <v/>
      </c>
      <c r="O62" s="7" t="str">
        <f t="shared" si="12"/>
        <v/>
      </c>
      <c r="P62" s="7" t="str">
        <f t="shared" si="13"/>
        <v/>
      </c>
      <c r="Q62" s="7" t="str">
        <f t="shared" si="14"/>
        <v/>
      </c>
      <c r="R62" s="28" t="str">
        <f t="shared" si="15"/>
        <v/>
      </c>
      <c r="S62" s="7"/>
      <c r="T62" s="7"/>
      <c r="U62" s="7"/>
      <c r="V62" s="7"/>
      <c r="Y62" s="4"/>
    </row>
    <row r="63" spans="1:25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36">IF(I25="","",_xlfn.TEXTJOIN(",",TRUE,I25:J25))</f>
        <v/>
      </c>
      <c r="J63" s="7" t="str">
        <f t="shared" si="9"/>
        <v/>
      </c>
      <c r="K63" s="7" t="str">
        <f t="shared" si="36"/>
        <v/>
      </c>
      <c r="L63" s="7" t="str">
        <f t="shared" si="10"/>
        <v/>
      </c>
      <c r="M63" s="28" t="str">
        <f t="shared" si="11"/>
        <v/>
      </c>
      <c r="N63" s="7" t="str">
        <f t="shared" si="36"/>
        <v/>
      </c>
      <c r="O63" s="7" t="str">
        <f t="shared" si="12"/>
        <v/>
      </c>
      <c r="P63" s="7" t="str">
        <f t="shared" si="13"/>
        <v/>
      </c>
      <c r="Q63" s="7" t="str">
        <f t="shared" si="14"/>
        <v/>
      </c>
      <c r="R63" s="28" t="str">
        <f t="shared" si="15"/>
        <v/>
      </c>
      <c r="S63" s="7"/>
      <c r="T63" s="7"/>
      <c r="U63" s="7"/>
      <c r="V63" s="7"/>
      <c r="Y63" s="4"/>
    </row>
    <row r="64" spans="1:25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37">IF(I26="","",_xlfn.TEXTJOIN(",",TRUE,I26:J26))</f>
        <v/>
      </c>
      <c r="J64" s="7" t="str">
        <f t="shared" si="9"/>
        <v/>
      </c>
      <c r="K64" s="7" t="str">
        <f t="shared" si="37"/>
        <v/>
      </c>
      <c r="L64" s="7" t="str">
        <f t="shared" si="10"/>
        <v/>
      </c>
      <c r="M64" s="28" t="str">
        <f t="shared" si="11"/>
        <v/>
      </c>
      <c r="N64" s="7" t="str">
        <f t="shared" si="37"/>
        <v/>
      </c>
      <c r="O64" s="7" t="str">
        <f t="shared" si="12"/>
        <v/>
      </c>
      <c r="P64" s="7" t="str">
        <f t="shared" si="13"/>
        <v/>
      </c>
      <c r="Q64" s="7" t="str">
        <f t="shared" si="14"/>
        <v/>
      </c>
      <c r="R64" s="28" t="str">
        <f t="shared" si="15"/>
        <v/>
      </c>
      <c r="S64" s="7"/>
      <c r="T64" s="7"/>
      <c r="U64" s="7"/>
      <c r="V64" s="7"/>
      <c r="Y64" s="4"/>
    </row>
    <row r="65" spans="1:25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38">IF(I27="","",_xlfn.TEXTJOIN(",",TRUE,I27:J27))</f>
        <v/>
      </c>
      <c r="J65" s="7" t="str">
        <f t="shared" si="9"/>
        <v/>
      </c>
      <c r="K65" s="7" t="str">
        <f t="shared" si="38"/>
        <v/>
      </c>
      <c r="L65" s="7" t="str">
        <f t="shared" si="10"/>
        <v/>
      </c>
      <c r="M65" s="28" t="str">
        <f t="shared" si="11"/>
        <v/>
      </c>
      <c r="N65" s="7" t="str">
        <f t="shared" si="38"/>
        <v/>
      </c>
      <c r="O65" s="7" t="str">
        <f t="shared" si="12"/>
        <v/>
      </c>
      <c r="P65" s="7" t="str">
        <f t="shared" si="13"/>
        <v/>
      </c>
      <c r="Q65" s="7" t="str">
        <f t="shared" si="14"/>
        <v/>
      </c>
      <c r="R65" s="28" t="str">
        <f t="shared" si="15"/>
        <v/>
      </c>
      <c r="S65" s="7"/>
      <c r="T65" s="7"/>
      <c r="U65" s="7"/>
      <c r="V65" s="7"/>
      <c r="Y65" s="4"/>
    </row>
    <row r="66" spans="1:25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39">IF(I28="","",_xlfn.TEXTJOIN(",",TRUE,I28:J28))</f>
        <v/>
      </c>
      <c r="J66" s="7" t="str">
        <f t="shared" si="9"/>
        <v/>
      </c>
      <c r="K66" s="7" t="str">
        <f t="shared" si="39"/>
        <v/>
      </c>
      <c r="L66" s="7" t="str">
        <f t="shared" si="10"/>
        <v/>
      </c>
      <c r="M66" s="28" t="str">
        <f t="shared" si="11"/>
        <v/>
      </c>
      <c r="N66" s="7" t="str">
        <f t="shared" si="39"/>
        <v/>
      </c>
      <c r="O66" s="7" t="str">
        <f t="shared" si="12"/>
        <v/>
      </c>
      <c r="P66" s="7" t="str">
        <f t="shared" si="13"/>
        <v/>
      </c>
      <c r="Q66" s="7" t="str">
        <f t="shared" si="14"/>
        <v/>
      </c>
      <c r="R66" s="28" t="str">
        <f t="shared" si="15"/>
        <v/>
      </c>
      <c r="S66" s="7"/>
      <c r="T66" s="7"/>
      <c r="U66" s="7"/>
      <c r="V66" s="7"/>
      <c r="Y66" s="4"/>
    </row>
    <row r="67" spans="1:25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0">IF(I29="","",_xlfn.TEXTJOIN(",",TRUE,I29:J29))</f>
        <v/>
      </c>
      <c r="J67" s="7" t="str">
        <f t="shared" si="9"/>
        <v/>
      </c>
      <c r="K67" s="7" t="str">
        <f t="shared" si="40"/>
        <v/>
      </c>
      <c r="L67" s="7" t="str">
        <f t="shared" si="10"/>
        <v/>
      </c>
      <c r="M67" s="28" t="str">
        <f t="shared" si="11"/>
        <v/>
      </c>
      <c r="N67" s="7" t="str">
        <f t="shared" si="40"/>
        <v/>
      </c>
      <c r="O67" s="7" t="str">
        <f t="shared" si="12"/>
        <v/>
      </c>
      <c r="P67" s="7" t="str">
        <f t="shared" si="13"/>
        <v/>
      </c>
      <c r="Q67" s="7" t="str">
        <f t="shared" si="14"/>
        <v/>
      </c>
      <c r="R67" s="28" t="str">
        <f t="shared" si="15"/>
        <v/>
      </c>
      <c r="S67" s="7"/>
      <c r="T67" s="7"/>
      <c r="U67" s="7"/>
      <c r="V67" s="7"/>
      <c r="Y67" s="4"/>
    </row>
    <row r="68" spans="1:25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1">IF(I30="","",_xlfn.TEXTJOIN(",",TRUE,I30:J30))</f>
        <v/>
      </c>
      <c r="J68" s="7" t="str">
        <f t="shared" si="9"/>
        <v/>
      </c>
      <c r="K68" s="7" t="str">
        <f t="shared" si="41"/>
        <v/>
      </c>
      <c r="L68" s="7" t="str">
        <f t="shared" si="10"/>
        <v/>
      </c>
      <c r="M68" s="28" t="str">
        <f t="shared" si="11"/>
        <v/>
      </c>
      <c r="N68" s="7" t="str">
        <f t="shared" si="41"/>
        <v/>
      </c>
      <c r="O68" s="7" t="str">
        <f t="shared" si="12"/>
        <v/>
      </c>
      <c r="P68" s="7" t="str">
        <f t="shared" si="13"/>
        <v/>
      </c>
      <c r="Q68" s="7" t="str">
        <f t="shared" si="14"/>
        <v/>
      </c>
      <c r="R68" s="28" t="str">
        <f t="shared" si="15"/>
        <v/>
      </c>
      <c r="S68" s="7"/>
      <c r="T68" s="7"/>
      <c r="U68" s="7"/>
      <c r="V68" s="7"/>
      <c r="Y68" s="4"/>
    </row>
    <row r="69" spans="1:25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2">IF(I31="","",_xlfn.TEXTJOIN(",",TRUE,I31:J31))</f>
        <v/>
      </c>
      <c r="J69" s="7" t="str">
        <f t="shared" si="9"/>
        <v/>
      </c>
      <c r="K69" s="7" t="str">
        <f t="shared" si="42"/>
        <v/>
      </c>
      <c r="L69" s="7" t="str">
        <f t="shared" si="10"/>
        <v/>
      </c>
      <c r="M69" s="28" t="str">
        <f t="shared" si="11"/>
        <v/>
      </c>
      <c r="N69" s="7" t="str">
        <f t="shared" si="42"/>
        <v/>
      </c>
      <c r="O69" s="7" t="str">
        <f t="shared" si="12"/>
        <v/>
      </c>
      <c r="P69" s="7" t="str">
        <f t="shared" si="13"/>
        <v/>
      </c>
      <c r="Q69" s="7" t="str">
        <f t="shared" si="14"/>
        <v/>
      </c>
      <c r="R69" s="28" t="str">
        <f t="shared" si="15"/>
        <v/>
      </c>
      <c r="S69" s="7"/>
      <c r="T69" s="7"/>
      <c r="U69" s="7"/>
      <c r="V69" s="7"/>
      <c r="Y69" s="4"/>
    </row>
    <row r="70" spans="1:25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</row>
    <row r="71" spans="1:25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27" t="str">
        <f>_xlfn.TEXTJOIN("|",TRUE,M40:M69)</f>
        <v>101,10,1|101,10,2|101,10,3|101,10,4;105,5,4|102,15,5|102,15,6|102,15,7;106,1,7</v>
      </c>
      <c r="N71" s="7"/>
      <c r="O71" s="7"/>
      <c r="P71" s="7"/>
      <c r="Q71" s="7"/>
      <c r="R71" s="27" t="str">
        <f>_xlfn.TEXTJOIN("|",TRUE,R40:R69)</f>
        <v>101,10,1|101,10,2|101,10,3|101,10,4;105,5,4|102,15,5|102,15,6|102,15,7;106,1,7</v>
      </c>
      <c r="S71" s="7"/>
      <c r="T71" s="7"/>
      <c r="U71" s="7"/>
      <c r="V71" s="7"/>
      <c r="Y71" s="4"/>
    </row>
    <row r="72" spans="1:25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</row>
    <row r="73" spans="1:25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</row>
    <row r="74" spans="1:25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</row>
    <row r="75" spans="1:25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</row>
    <row r="77" spans="18:19">
      <c r="R77" s="4" t="s">
        <v>592</v>
      </c>
      <c r="S77" s="4">
        <v>25</v>
      </c>
    </row>
    <row r="78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s="4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spans="1:33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W79*(1-(N79-1)/6)*1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>SUM(P79:T79)+O79/5</f>
        <v>0.4</v>
      </c>
      <c r="V79" s="4">
        <v>1</v>
      </c>
      <c r="W79" s="7">
        <f>C2</f>
        <v>2</v>
      </c>
      <c r="X79" s="4">
        <f>(O79*W79)^V79</f>
        <v>4</v>
      </c>
      <c r="Y79" s="4">
        <f>ROUND(X79*$S$77,0)</f>
        <v>100</v>
      </c>
      <c r="Z79" s="7">
        <v>1</v>
      </c>
      <c r="AA79" s="7">
        <v>20</v>
      </c>
      <c r="AB79" s="7">
        <v>25</v>
      </c>
      <c r="AC79" s="7">
        <v>10</v>
      </c>
      <c r="AD79" s="7">
        <f>$S$77*U79*(AB79+AC79)</f>
        <v>350</v>
      </c>
      <c r="AE79" s="4">
        <f>ROUND(AD79/AA79*V79,0)</f>
        <v>18</v>
      </c>
      <c r="AF79" s="4">
        <f>ROUND(AD79/AA79*V79*AG79,0)</f>
        <v>18</v>
      </c>
      <c r="AG79" s="4">
        <v>1</v>
      </c>
    </row>
    <row r="80" spans="1:33">
      <c r="A80" s="4">
        <v>2</v>
      </c>
      <c r="B80" s="7"/>
      <c r="C80" s="7"/>
      <c r="D80" s="7"/>
      <c r="E80" s="7"/>
      <c r="F80" s="7"/>
      <c r="G80" s="7"/>
      <c r="H80" s="4"/>
      <c r="I80" s="4"/>
      <c r="J80" s="7">
        <v>0</v>
      </c>
      <c r="K80" s="7">
        <v>0</v>
      </c>
      <c r="L80" s="7">
        <v>0</v>
      </c>
      <c r="M80" s="7">
        <v>0</v>
      </c>
      <c r="N80" s="7">
        <v>1</v>
      </c>
      <c r="O80" s="4">
        <f>W80*(1-(N80-1)/6)*1</f>
        <v>5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f t="shared" ref="U80:U88" si="43">SUM(P80:T80)+O80/5</f>
        <v>1</v>
      </c>
      <c r="V80" s="4">
        <v>1</v>
      </c>
      <c r="W80" s="7">
        <f t="shared" ref="W80:W88" si="44">C3</f>
        <v>5</v>
      </c>
      <c r="X80" s="4">
        <f t="shared" ref="X80:X98" si="45">(O80*W80)^V80</f>
        <v>25</v>
      </c>
      <c r="Y80" s="4">
        <f t="shared" ref="Y80:Y98" si="46">ROUND(X80*$S$77,0)</f>
        <v>625</v>
      </c>
      <c r="Z80" s="7">
        <v>1</v>
      </c>
      <c r="AA80" s="7">
        <v>20</v>
      </c>
      <c r="AB80" s="7">
        <v>25</v>
      </c>
      <c r="AC80" s="7">
        <v>10</v>
      </c>
      <c r="AD80" s="7">
        <f t="shared" ref="AD80:AD98" si="47">$S$77*U80*(AB80+AC80)</f>
        <v>875</v>
      </c>
      <c r="AE80" s="4">
        <f t="shared" ref="AE80:AE98" si="48">ROUND(AD80/AA80*V80,0)</f>
        <v>44</v>
      </c>
      <c r="AF80" s="4">
        <f t="shared" ref="AF80:AF98" si="49">ROUND(AD80/AA80*V80*AG80,0)</f>
        <v>44</v>
      </c>
      <c r="AG80" s="4">
        <v>1</v>
      </c>
    </row>
    <row r="81" spans="1:33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W81*(1-(N81-1)/6)*1</f>
        <v>5</v>
      </c>
      <c r="P81" s="7">
        <f>W81/6*1</f>
        <v>1</v>
      </c>
      <c r="Q81" s="7">
        <v>0</v>
      </c>
      <c r="R81" s="7">
        <v>0</v>
      </c>
      <c r="S81" s="7">
        <v>0</v>
      </c>
      <c r="T81" s="7">
        <v>0</v>
      </c>
      <c r="U81" s="7">
        <f t="shared" si="43"/>
        <v>2</v>
      </c>
      <c r="V81" s="4">
        <v>1</v>
      </c>
      <c r="W81" s="7">
        <f t="shared" si="44"/>
        <v>6</v>
      </c>
      <c r="X81" s="4">
        <f t="shared" si="45"/>
        <v>30</v>
      </c>
      <c r="Y81" s="4">
        <f t="shared" si="46"/>
        <v>750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47"/>
        <v>1750</v>
      </c>
      <c r="AE81" s="4">
        <f t="shared" si="48"/>
        <v>88</v>
      </c>
      <c r="AF81" s="4">
        <f t="shared" si="49"/>
        <v>88</v>
      </c>
      <c r="AG81" s="4">
        <v>1</v>
      </c>
    </row>
    <row r="82" spans="1:33">
      <c r="A82" s="4">
        <v>4</v>
      </c>
      <c r="B82" s="7">
        <v>1</v>
      </c>
      <c r="C82" s="7"/>
      <c r="D82" s="7"/>
      <c r="E82" s="7"/>
      <c r="F82" s="7"/>
      <c r="G82" s="7"/>
      <c r="H82" s="4"/>
      <c r="I82" s="4"/>
      <c r="J82" s="7">
        <v>0</v>
      </c>
      <c r="K82" s="7">
        <v>0</v>
      </c>
      <c r="L82" s="7">
        <v>0</v>
      </c>
      <c r="M82" s="7">
        <v>0</v>
      </c>
      <c r="N82" s="7">
        <v>2</v>
      </c>
      <c r="O82" s="4">
        <f>W82*(1-(N82-1)/6)*1</f>
        <v>6.66666666666667</v>
      </c>
      <c r="P82" s="7">
        <f>W82/6*1</f>
        <v>1.33333333333333</v>
      </c>
      <c r="Q82" s="7">
        <v>0</v>
      </c>
      <c r="R82" s="7">
        <v>0</v>
      </c>
      <c r="S82" s="7">
        <v>0</v>
      </c>
      <c r="T82" s="7">
        <v>0</v>
      </c>
      <c r="U82" s="7">
        <f t="shared" si="43"/>
        <v>2.66666666666667</v>
      </c>
      <c r="V82" s="4">
        <v>1</v>
      </c>
      <c r="W82" s="7">
        <f t="shared" si="44"/>
        <v>8</v>
      </c>
      <c r="X82" s="4">
        <f t="shared" si="45"/>
        <v>53.3333333333333</v>
      </c>
      <c r="Y82" s="4">
        <f t="shared" si="46"/>
        <v>1333</v>
      </c>
      <c r="Z82" s="7">
        <v>1</v>
      </c>
      <c r="AA82" s="7">
        <v>40</v>
      </c>
      <c r="AB82" s="7">
        <v>25</v>
      </c>
      <c r="AC82" s="7">
        <v>10</v>
      </c>
      <c r="AD82" s="7">
        <f t="shared" si="47"/>
        <v>2333.33333333333</v>
      </c>
      <c r="AE82" s="4">
        <f t="shared" si="48"/>
        <v>58</v>
      </c>
      <c r="AF82" s="4">
        <f t="shared" si="49"/>
        <v>58</v>
      </c>
      <c r="AG82" s="4">
        <v>1</v>
      </c>
    </row>
    <row r="83" spans="1:33">
      <c r="A83" s="9">
        <v>5</v>
      </c>
      <c r="B83" s="10"/>
      <c r="C83" s="10"/>
      <c r="D83" s="10"/>
      <c r="E83" s="10"/>
      <c r="F83" s="10"/>
      <c r="G83" s="10"/>
      <c r="H83" s="4">
        <v>0.5</v>
      </c>
      <c r="I83" s="4"/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>W83*(1-(N83-1)/6)*(1+0.5)</f>
        <v>9</v>
      </c>
      <c r="P83" s="7">
        <f>W83/6*1</f>
        <v>1.5</v>
      </c>
      <c r="Q83" s="7">
        <f>W83/6*1</f>
        <v>1.5</v>
      </c>
      <c r="R83" s="7">
        <v>0</v>
      </c>
      <c r="S83" s="7">
        <v>0</v>
      </c>
      <c r="T83" s="7">
        <v>0</v>
      </c>
      <c r="U83" s="7">
        <f t="shared" si="43"/>
        <v>4.8</v>
      </c>
      <c r="V83" s="4">
        <v>1</v>
      </c>
      <c r="W83" s="7">
        <f t="shared" si="44"/>
        <v>9</v>
      </c>
      <c r="X83" s="4">
        <f t="shared" si="45"/>
        <v>81</v>
      </c>
      <c r="Y83" s="4">
        <f t="shared" si="46"/>
        <v>2025</v>
      </c>
      <c r="Z83" s="7">
        <v>1</v>
      </c>
      <c r="AA83" s="7">
        <v>30</v>
      </c>
      <c r="AB83" s="7">
        <v>25</v>
      </c>
      <c r="AC83" s="7">
        <v>10</v>
      </c>
      <c r="AD83" s="7">
        <f t="shared" si="47"/>
        <v>4200</v>
      </c>
      <c r="AE83" s="4">
        <f t="shared" si="48"/>
        <v>140</v>
      </c>
      <c r="AF83" s="4">
        <f t="shared" si="49"/>
        <v>140</v>
      </c>
      <c r="AG83" s="4">
        <v>1</v>
      </c>
    </row>
    <row r="84" spans="1:33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0.5</v>
      </c>
      <c r="J84" s="7">
        <v>0</v>
      </c>
      <c r="K84" s="7">
        <v>0</v>
      </c>
      <c r="L84" s="7">
        <v>0</v>
      </c>
      <c r="M84" s="7">
        <v>0</v>
      </c>
      <c r="N84" s="7">
        <v>3</v>
      </c>
      <c r="O84" s="4">
        <f>W84*(1-(N84-1)/6)*(1+0.5)</f>
        <v>11</v>
      </c>
      <c r="P84" s="7">
        <f>W84/6*(1+0.5)</f>
        <v>2.75</v>
      </c>
      <c r="Q84" s="7">
        <f>W84/6*1</f>
        <v>1.83333333333333</v>
      </c>
      <c r="R84" s="7">
        <v>0</v>
      </c>
      <c r="S84" s="7">
        <v>0</v>
      </c>
      <c r="T84" s="7">
        <v>0</v>
      </c>
      <c r="U84" s="7">
        <f t="shared" si="43"/>
        <v>6.78333333333333</v>
      </c>
      <c r="V84" s="4">
        <v>1</v>
      </c>
      <c r="W84" s="7">
        <f t="shared" si="44"/>
        <v>11</v>
      </c>
      <c r="X84" s="4">
        <f t="shared" si="45"/>
        <v>121</v>
      </c>
      <c r="Y84" s="4">
        <f t="shared" si="46"/>
        <v>3025</v>
      </c>
      <c r="Z84" s="7">
        <v>1</v>
      </c>
      <c r="AA84" s="7">
        <v>30</v>
      </c>
      <c r="AB84" s="7">
        <v>25</v>
      </c>
      <c r="AC84" s="7">
        <v>10</v>
      </c>
      <c r="AD84" s="7">
        <f t="shared" si="47"/>
        <v>5935.41666666667</v>
      </c>
      <c r="AE84" s="4">
        <f t="shared" si="48"/>
        <v>198</v>
      </c>
      <c r="AF84" s="4">
        <f t="shared" si="49"/>
        <v>198</v>
      </c>
      <c r="AG84" s="4">
        <v>1</v>
      </c>
    </row>
    <row r="85" spans="1:33">
      <c r="A85" s="9">
        <v>7</v>
      </c>
      <c r="B85" s="10"/>
      <c r="C85" s="10"/>
      <c r="D85" s="10">
        <v>1</v>
      </c>
      <c r="E85" s="10"/>
      <c r="F85" s="10"/>
      <c r="G85" s="10"/>
      <c r="H85" s="4">
        <v>1</v>
      </c>
      <c r="I85" s="4"/>
      <c r="J85" s="7">
        <v>0.5</v>
      </c>
      <c r="K85" s="7">
        <v>0</v>
      </c>
      <c r="L85" s="7">
        <v>0</v>
      </c>
      <c r="M85" s="7">
        <v>0</v>
      </c>
      <c r="N85" s="7">
        <v>3</v>
      </c>
      <c r="O85" s="4">
        <f>W85*(1-(N85-1)/6)*(1+1)*(1+0.5)</f>
        <v>24</v>
      </c>
      <c r="P85" s="7">
        <f>W85/6*(1+0.5)</f>
        <v>3</v>
      </c>
      <c r="Q85" s="7">
        <f>W85/6*1.5</f>
        <v>3</v>
      </c>
      <c r="R85" s="7">
        <v>0</v>
      </c>
      <c r="S85" s="7">
        <v>0</v>
      </c>
      <c r="T85" s="7">
        <v>0</v>
      </c>
      <c r="U85" s="7">
        <f t="shared" si="43"/>
        <v>10.8</v>
      </c>
      <c r="V85" s="4">
        <v>1</v>
      </c>
      <c r="W85" s="7">
        <f t="shared" si="44"/>
        <v>12</v>
      </c>
      <c r="X85" s="4">
        <f t="shared" si="45"/>
        <v>288</v>
      </c>
      <c r="Y85" s="4">
        <f t="shared" si="46"/>
        <v>7200</v>
      </c>
      <c r="Z85" s="7">
        <v>1</v>
      </c>
      <c r="AA85" s="7">
        <v>40</v>
      </c>
      <c r="AB85" s="7">
        <v>25</v>
      </c>
      <c r="AC85" s="7">
        <v>10</v>
      </c>
      <c r="AD85" s="7">
        <f t="shared" si="47"/>
        <v>9450</v>
      </c>
      <c r="AE85" s="4">
        <f t="shared" si="48"/>
        <v>236</v>
      </c>
      <c r="AF85" s="4">
        <f t="shared" si="49"/>
        <v>236</v>
      </c>
      <c r="AG85" s="4">
        <v>1</v>
      </c>
    </row>
    <row r="86" spans="1:33">
      <c r="A86" s="4">
        <v>8</v>
      </c>
      <c r="B86" s="7">
        <v>1</v>
      </c>
      <c r="C86" s="7"/>
      <c r="D86" s="7"/>
      <c r="E86" s="7"/>
      <c r="F86" s="7"/>
      <c r="G86" s="7"/>
      <c r="H86" s="4">
        <v>0.5</v>
      </c>
      <c r="I86" s="4"/>
      <c r="J86" s="7">
        <v>0</v>
      </c>
      <c r="K86" s="7">
        <v>0</v>
      </c>
      <c r="L86" s="7">
        <v>0</v>
      </c>
      <c r="M86" s="7">
        <v>0</v>
      </c>
      <c r="N86" s="7">
        <v>3</v>
      </c>
      <c r="O86" s="4">
        <f>W86*(1-(N86-1)/6)*(1+1)*(1+0.5)</f>
        <v>0</v>
      </c>
      <c r="P86" s="7">
        <f t="shared" ref="P83:P88" si="50">W86/6*(1+1)</f>
        <v>0</v>
      </c>
      <c r="Q86" s="7">
        <f>W86/N86*1</f>
        <v>0</v>
      </c>
      <c r="R86" s="7">
        <f>W86/6*(1+0.5)</f>
        <v>0</v>
      </c>
      <c r="S86" s="7">
        <v>0</v>
      </c>
      <c r="T86" s="7">
        <v>0</v>
      </c>
      <c r="U86" s="7">
        <f t="shared" si="43"/>
        <v>0</v>
      </c>
      <c r="V86" s="4">
        <v>1</v>
      </c>
      <c r="W86" s="7">
        <f t="shared" si="44"/>
        <v>0</v>
      </c>
      <c r="X86" s="4">
        <f t="shared" si="45"/>
        <v>0</v>
      </c>
      <c r="Y86" s="4">
        <f t="shared" si="46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47"/>
        <v>0</v>
      </c>
      <c r="AE86" s="4">
        <f t="shared" si="48"/>
        <v>0</v>
      </c>
      <c r="AF86" s="4">
        <f t="shared" si="49"/>
        <v>0</v>
      </c>
      <c r="AG86" s="4">
        <v>0.6</v>
      </c>
    </row>
    <row r="87" spans="1:33">
      <c r="A87" s="9">
        <v>9</v>
      </c>
      <c r="B87" s="10"/>
      <c r="C87" s="10">
        <v>1</v>
      </c>
      <c r="D87" s="10"/>
      <c r="E87" s="10"/>
      <c r="F87" s="10"/>
      <c r="G87" s="10"/>
      <c r="H87" s="4"/>
      <c r="I87" s="4">
        <v>0.5</v>
      </c>
      <c r="J87" s="7">
        <v>0</v>
      </c>
      <c r="K87" s="7">
        <v>0</v>
      </c>
      <c r="L87" s="7">
        <v>0</v>
      </c>
      <c r="M87" s="7">
        <v>0</v>
      </c>
      <c r="N87" s="7">
        <v>3</v>
      </c>
      <c r="O87" s="4">
        <f>W87*(1-(N87-1)/6)*(1+1)*(1+0.5)</f>
        <v>0</v>
      </c>
      <c r="P87" s="7">
        <f t="shared" si="50"/>
        <v>0</v>
      </c>
      <c r="Q87" s="7">
        <f t="shared" ref="Q87:Q92" si="51">W87/N87*(1+0.5)</f>
        <v>0</v>
      </c>
      <c r="R87" s="7">
        <f>W87/6*(1+0.5)</f>
        <v>0</v>
      </c>
      <c r="S87" s="7">
        <v>0</v>
      </c>
      <c r="T87" s="7">
        <v>0</v>
      </c>
      <c r="U87" s="7">
        <f t="shared" si="43"/>
        <v>0</v>
      </c>
      <c r="V87" s="4">
        <v>1</v>
      </c>
      <c r="W87" s="7">
        <f t="shared" si="44"/>
        <v>0</v>
      </c>
      <c r="X87" s="4">
        <f t="shared" si="45"/>
        <v>0</v>
      </c>
      <c r="Y87" s="4">
        <f t="shared" si="46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47"/>
        <v>0</v>
      </c>
      <c r="AE87" s="4">
        <f t="shared" si="48"/>
        <v>0</v>
      </c>
      <c r="AF87" s="4">
        <f t="shared" si="49"/>
        <v>0</v>
      </c>
      <c r="AG87" s="4">
        <v>0.6</v>
      </c>
    </row>
    <row r="88" spans="1:33">
      <c r="A88" s="11">
        <v>10</v>
      </c>
      <c r="B88" s="12"/>
      <c r="C88" s="12"/>
      <c r="D88" s="12">
        <v>1</v>
      </c>
      <c r="E88" s="12"/>
      <c r="F88" s="12"/>
      <c r="G88" s="12"/>
      <c r="H88" s="4"/>
      <c r="I88" s="4"/>
      <c r="J88" s="7">
        <v>0.5</v>
      </c>
      <c r="K88" s="7">
        <v>0</v>
      </c>
      <c r="L88" s="7">
        <v>0</v>
      </c>
      <c r="M88" s="7">
        <v>0</v>
      </c>
      <c r="N88" s="7">
        <v>3</v>
      </c>
      <c r="O88" s="4">
        <f>W88*(1-(N88-1)/6)*(1+1)*(1+1)</f>
        <v>0</v>
      </c>
      <c r="P88" s="7">
        <f t="shared" si="50"/>
        <v>0</v>
      </c>
      <c r="Q88" s="7">
        <f t="shared" si="51"/>
        <v>0</v>
      </c>
      <c r="R88" s="7">
        <f>W88/6*(1+0.5)</f>
        <v>0</v>
      </c>
      <c r="S88" s="7">
        <v>0</v>
      </c>
      <c r="T88" s="7">
        <v>0</v>
      </c>
      <c r="U88" s="7">
        <f t="shared" si="43"/>
        <v>0</v>
      </c>
      <c r="V88" s="4">
        <v>1</v>
      </c>
      <c r="W88" s="7">
        <f t="shared" si="44"/>
        <v>0</v>
      </c>
      <c r="X88" s="4">
        <f t="shared" si="45"/>
        <v>0</v>
      </c>
      <c r="Y88" s="4">
        <f t="shared" si="46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47"/>
        <v>0</v>
      </c>
      <c r="AE88" s="4">
        <f t="shared" si="48"/>
        <v>0</v>
      </c>
      <c r="AF88" s="4">
        <f t="shared" si="49"/>
        <v>0</v>
      </c>
      <c r="AG88" s="4">
        <v>0.8</v>
      </c>
    </row>
    <row r="89" spans="1:33">
      <c r="A89" s="9">
        <v>11</v>
      </c>
      <c r="B89" s="10"/>
      <c r="C89" s="10"/>
      <c r="D89" s="10"/>
      <c r="E89" s="10"/>
      <c r="F89" s="10"/>
      <c r="G89" s="10"/>
      <c r="H89" s="4"/>
      <c r="I89" s="4"/>
      <c r="J89" s="7">
        <v>0</v>
      </c>
      <c r="K89" s="7">
        <v>0</v>
      </c>
      <c r="L89" s="7">
        <v>0</v>
      </c>
      <c r="M89" s="7">
        <v>0</v>
      </c>
      <c r="N89" s="7">
        <v>3</v>
      </c>
      <c r="O89" s="4">
        <f>W89/N89*(1+1)*(1+0.5)</f>
        <v>0</v>
      </c>
      <c r="P89" s="7">
        <f>W89/N89*(1+0.5)</f>
        <v>0</v>
      </c>
      <c r="Q89" s="7">
        <f t="shared" si="51"/>
        <v>0</v>
      </c>
      <c r="R89" s="7">
        <f t="shared" ref="R88:R98" si="52">W89/N89*(1+0.5)</f>
        <v>0</v>
      </c>
      <c r="S89" s="7">
        <f t="shared" ref="S89:S96" si="53">W89/N89*(1+0.5)</f>
        <v>0</v>
      </c>
      <c r="T89" s="7">
        <f>W89/N89*(1+0.5)</f>
        <v>0</v>
      </c>
      <c r="U89" s="7">
        <f t="shared" ref="U80:U98" si="54">SUM(P89:T89)+O89*0.6</f>
        <v>0</v>
      </c>
      <c r="V89" s="4">
        <v>1</v>
      </c>
      <c r="W89" s="7">
        <f t="shared" ref="W80:W98" si="55">F12</f>
        <v>0</v>
      </c>
      <c r="X89" s="4">
        <f t="shared" si="45"/>
        <v>0</v>
      </c>
      <c r="Y89" s="4">
        <f t="shared" si="46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47"/>
        <v>0</v>
      </c>
      <c r="AE89" s="4">
        <f t="shared" si="48"/>
        <v>0</v>
      </c>
      <c r="AF89" s="4">
        <f t="shared" si="49"/>
        <v>0</v>
      </c>
      <c r="AG89" s="4">
        <v>0.5</v>
      </c>
    </row>
    <row r="90" spans="1:33">
      <c r="A90" s="9">
        <v>12</v>
      </c>
      <c r="B90" s="10"/>
      <c r="C90" s="10"/>
      <c r="D90" s="10"/>
      <c r="E90" s="10"/>
      <c r="F90" s="10"/>
      <c r="G90" s="10"/>
      <c r="I90" s="4"/>
      <c r="J90" s="7">
        <v>0</v>
      </c>
      <c r="K90" s="7">
        <v>0</v>
      </c>
      <c r="L90" s="7">
        <v>0</v>
      </c>
      <c r="M90" s="7">
        <v>0</v>
      </c>
      <c r="N90" s="7">
        <v>3</v>
      </c>
      <c r="O90" s="4">
        <f t="shared" ref="O90:O98" si="56">W90/N90*(1+1)*(1+0.5)</f>
        <v>0</v>
      </c>
      <c r="P90" s="7">
        <f>W90/N90*(1+0.5)</f>
        <v>0</v>
      </c>
      <c r="Q90" s="7">
        <f t="shared" si="51"/>
        <v>0</v>
      </c>
      <c r="R90" s="7">
        <f t="shared" si="52"/>
        <v>0</v>
      </c>
      <c r="S90" s="7">
        <f t="shared" si="53"/>
        <v>0</v>
      </c>
      <c r="T90" s="7">
        <f t="shared" ref="T90:T98" si="57">W90/N90*(1+0.5)</f>
        <v>0</v>
      </c>
      <c r="U90" s="7">
        <f t="shared" si="54"/>
        <v>0</v>
      </c>
      <c r="V90" s="4">
        <v>1</v>
      </c>
      <c r="W90" s="7">
        <f t="shared" si="55"/>
        <v>0</v>
      </c>
      <c r="X90" s="4">
        <f t="shared" si="45"/>
        <v>0</v>
      </c>
      <c r="Y90" s="4">
        <f t="shared" si="46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47"/>
        <v>0</v>
      </c>
      <c r="AE90" s="4">
        <f t="shared" si="48"/>
        <v>0</v>
      </c>
      <c r="AF90" s="4">
        <f t="shared" si="49"/>
        <v>0</v>
      </c>
      <c r="AG90" s="4">
        <v>0.5</v>
      </c>
    </row>
    <row r="91" spans="1:33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</v>
      </c>
      <c r="K91" s="7">
        <v>0</v>
      </c>
      <c r="L91" s="7">
        <v>0</v>
      </c>
      <c r="M91" s="7">
        <v>0</v>
      </c>
      <c r="N91" s="7">
        <v>3</v>
      </c>
      <c r="O91" s="4">
        <f t="shared" si="56"/>
        <v>0</v>
      </c>
      <c r="P91" s="7">
        <f>W91/N91*(1+0.5)*(1+0.5)</f>
        <v>0</v>
      </c>
      <c r="Q91" s="7">
        <f t="shared" si="51"/>
        <v>0</v>
      </c>
      <c r="R91" s="7">
        <f t="shared" si="52"/>
        <v>0</v>
      </c>
      <c r="S91" s="7">
        <f t="shared" si="53"/>
        <v>0</v>
      </c>
      <c r="T91" s="7">
        <f t="shared" si="57"/>
        <v>0</v>
      </c>
      <c r="U91" s="7">
        <f t="shared" si="54"/>
        <v>0</v>
      </c>
      <c r="V91" s="4">
        <v>1</v>
      </c>
      <c r="W91" s="7">
        <f t="shared" si="55"/>
        <v>0</v>
      </c>
      <c r="X91" s="4">
        <f t="shared" si="45"/>
        <v>0</v>
      </c>
      <c r="Y91" s="4">
        <f t="shared" si="46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47"/>
        <v>0</v>
      </c>
      <c r="AE91" s="4">
        <f t="shared" si="48"/>
        <v>0</v>
      </c>
      <c r="AF91" s="4">
        <f t="shared" si="49"/>
        <v>0</v>
      </c>
      <c r="AG91" s="4">
        <v>0.6</v>
      </c>
    </row>
    <row r="92" spans="1:33">
      <c r="A92" s="9">
        <v>14</v>
      </c>
      <c r="B92" s="10"/>
      <c r="C92" s="10"/>
      <c r="D92" s="10"/>
      <c r="E92" s="10"/>
      <c r="F92" s="10"/>
      <c r="G92" s="10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3</v>
      </c>
      <c r="O92" s="4">
        <f t="shared" si="56"/>
        <v>0</v>
      </c>
      <c r="P92" s="7">
        <f t="shared" ref="P92:P98" si="58">W92/N92*(1+0.5)*(1+0.5)</f>
        <v>0</v>
      </c>
      <c r="Q92" s="7">
        <f t="shared" si="51"/>
        <v>0</v>
      </c>
      <c r="R92" s="7">
        <f t="shared" si="52"/>
        <v>0</v>
      </c>
      <c r="S92" s="7">
        <f t="shared" si="53"/>
        <v>0</v>
      </c>
      <c r="T92" s="7">
        <f t="shared" si="57"/>
        <v>0</v>
      </c>
      <c r="U92" s="7">
        <f t="shared" si="54"/>
        <v>0</v>
      </c>
      <c r="V92" s="4">
        <v>1</v>
      </c>
      <c r="W92" s="7">
        <f t="shared" si="55"/>
        <v>0</v>
      </c>
      <c r="X92" s="4">
        <f t="shared" si="45"/>
        <v>0</v>
      </c>
      <c r="Y92" s="4">
        <f t="shared" si="46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47"/>
        <v>0</v>
      </c>
      <c r="AE92" s="4">
        <f t="shared" si="48"/>
        <v>0</v>
      </c>
      <c r="AF92" s="4">
        <f t="shared" si="49"/>
        <v>0</v>
      </c>
      <c r="AG92" s="4">
        <v>0.6</v>
      </c>
    </row>
    <row r="93" spans="1:33">
      <c r="A93" s="9">
        <v>15</v>
      </c>
      <c r="B93" s="10"/>
      <c r="C93" s="10"/>
      <c r="D93" s="10"/>
      <c r="E93" s="10"/>
      <c r="F93" s="10"/>
      <c r="G93" s="10"/>
      <c r="H93" s="4"/>
      <c r="I93" s="4"/>
      <c r="J93" s="7">
        <v>0</v>
      </c>
      <c r="K93" s="7">
        <v>0</v>
      </c>
      <c r="L93" s="7">
        <v>0</v>
      </c>
      <c r="M93" s="7">
        <v>0</v>
      </c>
      <c r="N93" s="7">
        <v>3</v>
      </c>
      <c r="O93" s="4">
        <f t="shared" si="56"/>
        <v>0</v>
      </c>
      <c r="P93" s="7">
        <f t="shared" si="58"/>
        <v>0</v>
      </c>
      <c r="Q93" s="7">
        <f t="shared" ref="Q93:Q98" si="59">W93/N93*(1+0.5)*(1+0.5)</f>
        <v>0</v>
      </c>
      <c r="R93" s="7">
        <f t="shared" si="52"/>
        <v>0</v>
      </c>
      <c r="S93" s="7">
        <f t="shared" si="53"/>
        <v>0</v>
      </c>
      <c r="T93" s="7">
        <f t="shared" si="57"/>
        <v>0</v>
      </c>
      <c r="U93" s="7">
        <f t="shared" si="54"/>
        <v>0</v>
      </c>
      <c r="V93" s="4">
        <v>1.1</v>
      </c>
      <c r="W93" s="7">
        <f t="shared" si="55"/>
        <v>0</v>
      </c>
      <c r="X93" s="4">
        <f t="shared" si="45"/>
        <v>0</v>
      </c>
      <c r="Y93" s="4">
        <f t="shared" si="46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47"/>
        <v>0</v>
      </c>
      <c r="AE93" s="4">
        <f t="shared" si="48"/>
        <v>0</v>
      </c>
      <c r="AF93" s="4">
        <f t="shared" si="49"/>
        <v>0</v>
      </c>
      <c r="AG93" s="4">
        <v>0.7</v>
      </c>
    </row>
    <row r="94" spans="1:33">
      <c r="A94" s="9">
        <v>16</v>
      </c>
      <c r="B94" s="10"/>
      <c r="C94" s="10"/>
      <c r="D94" s="10"/>
      <c r="E94" s="10"/>
      <c r="F94" s="10"/>
      <c r="G94" s="10"/>
      <c r="I94" s="4"/>
      <c r="J94" s="7">
        <v>0</v>
      </c>
      <c r="K94" s="7">
        <v>0</v>
      </c>
      <c r="L94" s="7">
        <v>0</v>
      </c>
      <c r="M94" s="7">
        <v>0</v>
      </c>
      <c r="N94" s="7">
        <v>3</v>
      </c>
      <c r="O94" s="4">
        <f t="shared" si="56"/>
        <v>0</v>
      </c>
      <c r="P94" s="7">
        <f t="shared" si="58"/>
        <v>0</v>
      </c>
      <c r="Q94" s="7">
        <f t="shared" si="59"/>
        <v>0</v>
      </c>
      <c r="R94" s="7">
        <f t="shared" si="52"/>
        <v>0</v>
      </c>
      <c r="S94" s="7">
        <f t="shared" si="53"/>
        <v>0</v>
      </c>
      <c r="T94" s="7">
        <f t="shared" si="57"/>
        <v>0</v>
      </c>
      <c r="U94" s="7">
        <f t="shared" si="54"/>
        <v>0</v>
      </c>
      <c r="V94" s="4">
        <v>1.1</v>
      </c>
      <c r="W94" s="7">
        <f t="shared" si="55"/>
        <v>0</v>
      </c>
      <c r="X94" s="4">
        <f t="shared" si="45"/>
        <v>0</v>
      </c>
      <c r="Y94" s="4">
        <f t="shared" si="46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47"/>
        <v>0</v>
      </c>
      <c r="AE94" s="4">
        <f t="shared" si="48"/>
        <v>0</v>
      </c>
      <c r="AF94" s="4">
        <f t="shared" si="49"/>
        <v>0</v>
      </c>
      <c r="AG94" s="4">
        <v>0.7</v>
      </c>
    </row>
    <row r="95" spans="1:33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</v>
      </c>
      <c r="K95" s="7">
        <v>0</v>
      </c>
      <c r="L95" s="7">
        <v>0</v>
      </c>
      <c r="M95" s="7">
        <v>0</v>
      </c>
      <c r="N95" s="7">
        <v>3</v>
      </c>
      <c r="O95" s="4">
        <f t="shared" si="56"/>
        <v>0</v>
      </c>
      <c r="P95" s="7">
        <f t="shared" si="58"/>
        <v>0</v>
      </c>
      <c r="Q95" s="7">
        <f t="shared" si="59"/>
        <v>0</v>
      </c>
      <c r="R95" s="7">
        <f>W95/N95*(1+0.5)*(1+0.5)</f>
        <v>0</v>
      </c>
      <c r="S95" s="7">
        <f t="shared" si="53"/>
        <v>0</v>
      </c>
      <c r="T95" s="7">
        <f t="shared" si="57"/>
        <v>0</v>
      </c>
      <c r="U95" s="7">
        <f t="shared" si="54"/>
        <v>0</v>
      </c>
      <c r="V95" s="4">
        <v>1.1</v>
      </c>
      <c r="W95" s="7">
        <f t="shared" si="55"/>
        <v>0</v>
      </c>
      <c r="X95" s="4">
        <f t="shared" si="45"/>
        <v>0</v>
      </c>
      <c r="Y95" s="4">
        <f t="shared" si="46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47"/>
        <v>0</v>
      </c>
      <c r="AE95" s="4">
        <f t="shared" si="48"/>
        <v>0</v>
      </c>
      <c r="AF95" s="4">
        <f t="shared" si="49"/>
        <v>0</v>
      </c>
      <c r="AG95" s="4">
        <v>0.75</v>
      </c>
    </row>
    <row r="96" spans="1:33">
      <c r="A96" s="9">
        <v>18</v>
      </c>
      <c r="B96" s="10"/>
      <c r="C96" s="10"/>
      <c r="D96" s="10"/>
      <c r="E96" s="10"/>
      <c r="F96" s="10"/>
      <c r="G96" s="10"/>
      <c r="I96" s="4"/>
      <c r="J96" s="7">
        <v>0</v>
      </c>
      <c r="K96" s="7">
        <v>0</v>
      </c>
      <c r="L96" s="7">
        <v>0</v>
      </c>
      <c r="M96" s="7">
        <v>0</v>
      </c>
      <c r="N96" s="7">
        <v>3</v>
      </c>
      <c r="O96" s="4">
        <f t="shared" si="56"/>
        <v>0</v>
      </c>
      <c r="P96" s="7">
        <f t="shared" si="58"/>
        <v>0</v>
      </c>
      <c r="Q96" s="7">
        <f t="shared" si="59"/>
        <v>0</v>
      </c>
      <c r="R96" s="7">
        <f>W96/N96*(1+0.5)*(1+0.5)</f>
        <v>0</v>
      </c>
      <c r="S96" s="7">
        <f t="shared" si="53"/>
        <v>0</v>
      </c>
      <c r="T96" s="7">
        <f t="shared" si="57"/>
        <v>0</v>
      </c>
      <c r="U96" s="7">
        <f t="shared" si="54"/>
        <v>0</v>
      </c>
      <c r="V96" s="4">
        <v>1.1</v>
      </c>
      <c r="W96" s="7">
        <f t="shared" si="55"/>
        <v>0</v>
      </c>
      <c r="X96" s="4">
        <f t="shared" si="45"/>
        <v>0</v>
      </c>
      <c r="Y96" s="4">
        <f t="shared" si="46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47"/>
        <v>0</v>
      </c>
      <c r="AE96" s="4">
        <f t="shared" si="48"/>
        <v>0</v>
      </c>
      <c r="AF96" s="4">
        <f t="shared" si="49"/>
        <v>0</v>
      </c>
      <c r="AG96" s="4">
        <v>0.75</v>
      </c>
    </row>
    <row r="97" spans="1:33">
      <c r="A97" s="9">
        <v>19</v>
      </c>
      <c r="B97" s="10"/>
      <c r="C97" s="10"/>
      <c r="D97" s="10"/>
      <c r="E97" s="10"/>
      <c r="F97" s="10"/>
      <c r="G97" s="10"/>
      <c r="H97" s="4"/>
      <c r="I97" s="4"/>
      <c r="J97" s="7">
        <v>0</v>
      </c>
      <c r="K97" s="7">
        <v>0</v>
      </c>
      <c r="L97" s="7">
        <v>0</v>
      </c>
      <c r="M97" s="7">
        <v>0</v>
      </c>
      <c r="N97" s="7">
        <v>3</v>
      </c>
      <c r="O97" s="4">
        <f t="shared" si="56"/>
        <v>0</v>
      </c>
      <c r="P97" s="7">
        <f t="shared" si="58"/>
        <v>0</v>
      </c>
      <c r="Q97" s="7">
        <f t="shared" si="59"/>
        <v>0</v>
      </c>
      <c r="R97" s="7">
        <f>W97/N97*(1+0.5)*(1+0.5)</f>
        <v>0</v>
      </c>
      <c r="S97" s="7">
        <f>W97/N97*(1+0.5)*(1+0.5)</f>
        <v>0</v>
      </c>
      <c r="T97" s="7">
        <f t="shared" si="57"/>
        <v>0</v>
      </c>
      <c r="U97" s="7">
        <f t="shared" si="54"/>
        <v>0</v>
      </c>
      <c r="V97" s="4">
        <v>1.1</v>
      </c>
      <c r="W97" s="7">
        <f t="shared" si="55"/>
        <v>0</v>
      </c>
      <c r="X97" s="4">
        <f t="shared" si="45"/>
        <v>0</v>
      </c>
      <c r="Y97" s="4">
        <f t="shared" si="46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47"/>
        <v>0</v>
      </c>
      <c r="AE97" s="4">
        <f t="shared" si="48"/>
        <v>0</v>
      </c>
      <c r="AF97" s="4">
        <f t="shared" si="49"/>
        <v>0</v>
      </c>
      <c r="AG97" s="4">
        <v>0.8</v>
      </c>
    </row>
    <row r="98" spans="1:33">
      <c r="A98" s="9">
        <v>20</v>
      </c>
      <c r="B98" s="10"/>
      <c r="C98" s="10"/>
      <c r="D98" s="10"/>
      <c r="E98" s="10"/>
      <c r="F98" s="10"/>
      <c r="G98" s="10"/>
      <c r="H98" s="4"/>
      <c r="I98" s="4"/>
      <c r="J98" s="7">
        <v>0</v>
      </c>
      <c r="K98" s="7">
        <v>0</v>
      </c>
      <c r="L98" s="7">
        <v>0</v>
      </c>
      <c r="M98" s="7">
        <v>0</v>
      </c>
      <c r="N98" s="7">
        <v>3</v>
      </c>
      <c r="O98" s="4">
        <f t="shared" si="56"/>
        <v>0</v>
      </c>
      <c r="P98" s="7">
        <f t="shared" si="58"/>
        <v>0</v>
      </c>
      <c r="Q98" s="7">
        <f t="shared" si="59"/>
        <v>0</v>
      </c>
      <c r="R98" s="7">
        <f>W98/N98*(1+0.5)*(1+0.5)</f>
        <v>0</v>
      </c>
      <c r="S98" s="7">
        <f>W98/N98*(1+0.5)*(1+0.5)</f>
        <v>0</v>
      </c>
      <c r="T98" s="7">
        <f t="shared" si="57"/>
        <v>0</v>
      </c>
      <c r="U98" s="7">
        <f t="shared" si="54"/>
        <v>0</v>
      </c>
      <c r="V98" s="4">
        <v>1.2</v>
      </c>
      <c r="W98" s="7">
        <f t="shared" si="55"/>
        <v>0</v>
      </c>
      <c r="X98" s="4">
        <f t="shared" si="45"/>
        <v>0</v>
      </c>
      <c r="Y98" s="4">
        <f t="shared" si="46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47"/>
        <v>0</v>
      </c>
      <c r="AE98" s="4">
        <f t="shared" si="48"/>
        <v>0</v>
      </c>
      <c r="AF98" s="4">
        <f t="shared" si="49"/>
        <v>0</v>
      </c>
      <c r="AG98" s="4">
        <v>0.9</v>
      </c>
    </row>
    <row r="99" spans="14:14">
      <c r="N99" s="7"/>
    </row>
    <row r="101" spans="7:7">
      <c r="G101" s="7">
        <f>SUM(B79:G98)</f>
        <v>6</v>
      </c>
    </row>
    <row r="105" spans="24:24">
      <c r="X105">
        <f>3100/25</f>
        <v>124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7"/>
  <sheetViews>
    <sheetView topLeftCell="N58" workbookViewId="0">
      <selection activeCell="AG88" sqref="AG88"/>
    </sheetView>
  </sheetViews>
  <sheetFormatPr defaultColWidth="8.88888888888889" defaultRowHeight="13.8"/>
  <cols>
    <col min="5" max="5" width="12.8888888888889"/>
    <col min="7" max="7" width="12.3333333333333" customWidth="1"/>
    <col min="8" max="8" width="10" customWidth="1"/>
    <col min="13" max="13" width="19.7222222222222" customWidth="1"/>
    <col min="14" max="17" width="12.8888888888889"/>
    <col min="18" max="18" width="18.75" customWidth="1"/>
    <col min="19" max="21" width="12.8888888888889"/>
    <col min="22" max="22" width="15.1388888888889" customWidth="1"/>
    <col min="23" max="23" width="10" customWidth="1"/>
    <col min="24" max="24" width="11.25" customWidth="1"/>
    <col min="30" max="30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201</v>
      </c>
      <c r="Y1" s="7">
        <v>3</v>
      </c>
      <c r="Z1" s="4">
        <v>202</v>
      </c>
      <c r="AA1" s="7">
        <v>203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11" si="0">ROUNDDOWN((B2-M2)/$X$6,0)</f>
        <v>2</v>
      </c>
      <c r="D2" s="7">
        <v>0</v>
      </c>
      <c r="E2" s="7">
        <f t="shared" ref="E2:E11" si="1">N79</f>
        <v>1</v>
      </c>
      <c r="F2" s="7">
        <f t="shared" ref="F2:F16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201</v>
      </c>
      <c r="J2" s="7">
        <v>10</v>
      </c>
      <c r="K2" s="7" t="str">
        <f>IF(H2=1,"",INDEX($X$1:$X$3,MATCH(H2,$V$1:$V$3,0)))</f>
        <v/>
      </c>
      <c r="L2" s="7" t="str">
        <f>IF(H2=1,"",IF(H2=2,5,1))</f>
        <v/>
      </c>
      <c r="M2" s="7">
        <v>0</v>
      </c>
      <c r="N2" s="7">
        <f>IF(A2&lt;5,$X$1,IF(A2&gt;10,$AA$1,$Z$1))</f>
        <v>201</v>
      </c>
      <c r="O2" s="7">
        <v>10</v>
      </c>
      <c r="P2" s="7" t="str">
        <f>IF(H2=1,"",INDEX($X$1:$X$3,MATCH(H2,$V$1:$V$3,0)))</f>
        <v/>
      </c>
      <c r="Q2" s="7" t="str">
        <f t="shared" ref="Q2:Q10" si="4">IF(H2=1,"",IF(H2=2,5,1))</f>
        <v/>
      </c>
      <c r="R2" s="7">
        <v>0</v>
      </c>
      <c r="S2" s="7">
        <f t="shared" ref="S2:S11" si="5">SUM(J2,Q2,,O2,L2)</f>
        <v>20</v>
      </c>
      <c r="T2" s="7"/>
      <c r="U2" s="7">
        <f t="shared" ref="U2:U31" si="6">SUM(J2,L2)+15</f>
        <v>25</v>
      </c>
      <c r="V2" s="7">
        <v>2</v>
      </c>
      <c r="W2" s="4" t="s">
        <v>577</v>
      </c>
      <c r="X2" s="8">
        <v>205</v>
      </c>
      <c r="Y2" s="4">
        <v>5</v>
      </c>
      <c r="AA2" s="7"/>
      <c r="AB2" s="4">
        <v>100</v>
      </c>
      <c r="AC2" s="7">
        <v>50</v>
      </c>
    </row>
    <row r="3" spans="1:29">
      <c r="A3" s="7">
        <v>2</v>
      </c>
      <c r="B3" s="7">
        <f>B2+$AB$2+R3</f>
        <v>200</v>
      </c>
      <c r="C3" s="7">
        <f t="shared" si="0"/>
        <v>5</v>
      </c>
      <c r="D3" s="7">
        <v>0</v>
      </c>
      <c r="E3" s="7">
        <f t="shared" si="1"/>
        <v>1</v>
      </c>
      <c r="F3" s="7">
        <f t="shared" si="2"/>
        <v>4</v>
      </c>
      <c r="G3" s="7">
        <f t="shared" si="3"/>
        <v>2</v>
      </c>
      <c r="H3" s="7">
        <v>1</v>
      </c>
      <c r="I3" s="7">
        <f t="shared" ref="I3:I16" si="7">IF(A3&lt;5,$X$1,IF(A3&gt;10,$AA$1,$Z$1))</f>
        <v>201</v>
      </c>
      <c r="J3" s="7">
        <v>10</v>
      </c>
      <c r="K3" s="7" t="str">
        <f>IF(H3=1,"",INDEX($X$1:$X$3,MATCH(H3,$V$1:$V$3,0)))</f>
        <v/>
      </c>
      <c r="L3" s="7" t="str">
        <f>IF(H3=1,"",IF(H3=2,5,1))</f>
        <v/>
      </c>
      <c r="M3" s="7">
        <v>0</v>
      </c>
      <c r="N3" s="7">
        <f t="shared" ref="N3:N16" si="8">IF(A3&lt;5,$X$1,IF(A3&gt;10,$AA$1,$Z$1))</f>
        <v>201</v>
      </c>
      <c r="O3" s="7">
        <v>10</v>
      </c>
      <c r="P3" s="7" t="str">
        <f>IF(H3=1,"",INDEX($X$1:$X$3,MATCH(H3,$V$1:$V$3,0)))</f>
        <v/>
      </c>
      <c r="Q3" s="7" t="str">
        <f t="shared" si="4"/>
        <v/>
      </c>
      <c r="R3" s="7">
        <v>0</v>
      </c>
      <c r="S3" s="7">
        <f t="shared" si="5"/>
        <v>20</v>
      </c>
      <c r="T3" s="7"/>
      <c r="U3" s="7">
        <f t="shared" si="6"/>
        <v>25</v>
      </c>
      <c r="V3" s="7">
        <v>3</v>
      </c>
      <c r="W3" s="4" t="s">
        <v>578</v>
      </c>
      <c r="X3" s="8">
        <v>206</v>
      </c>
      <c r="Y3" s="7">
        <v>10</v>
      </c>
      <c r="AA3" s="7"/>
      <c r="AC3" s="7"/>
    </row>
    <row r="4" spans="1:27">
      <c r="A4" s="7">
        <v>3</v>
      </c>
      <c r="B4" s="7">
        <f t="shared" ref="B4:B11" si="9">B3+$AB$2+R4</f>
        <v>320</v>
      </c>
      <c r="C4" s="7">
        <f t="shared" si="0"/>
        <v>8</v>
      </c>
      <c r="D4" s="7">
        <v>1</v>
      </c>
      <c r="E4" s="7">
        <f t="shared" si="1"/>
        <v>2</v>
      </c>
      <c r="F4" s="7">
        <f t="shared" si="2"/>
        <v>6</v>
      </c>
      <c r="G4" s="7">
        <f t="shared" si="3"/>
        <v>6</v>
      </c>
      <c r="H4" s="7">
        <v>1</v>
      </c>
      <c r="I4" s="7">
        <f t="shared" si="7"/>
        <v>201</v>
      </c>
      <c r="J4" s="7">
        <v>10</v>
      </c>
      <c r="K4" s="7" t="str">
        <f>IF(H4=1,"",INDEX($X$1:$X$3,MATCH(H4,$V$1:$V$3,0)))</f>
        <v/>
      </c>
      <c r="L4" s="7" t="str">
        <f>IF(H4=1,"",IF(H4=2,5,1))</f>
        <v/>
      </c>
      <c r="M4" s="7">
        <v>0</v>
      </c>
      <c r="N4" s="7">
        <f t="shared" si="8"/>
        <v>201</v>
      </c>
      <c r="O4" s="7">
        <v>10</v>
      </c>
      <c r="P4" s="7" t="str">
        <f>IF(H4=1,"",INDEX($X$1:$X$3,MATCH(H4,$V$1:$V$3,0)))</f>
        <v/>
      </c>
      <c r="Q4" s="7" t="str">
        <f t="shared" si="4"/>
        <v/>
      </c>
      <c r="R4" s="7">
        <v>20</v>
      </c>
      <c r="S4" s="7">
        <f t="shared" si="5"/>
        <v>20</v>
      </c>
      <c r="T4" s="7"/>
      <c r="U4" s="7">
        <f t="shared" si="6"/>
        <v>25</v>
      </c>
      <c r="V4" s="7"/>
      <c r="W4" s="4"/>
      <c r="X4" s="4"/>
      <c r="Y4" s="4"/>
      <c r="AA4" s="7"/>
    </row>
    <row r="5" spans="1:27">
      <c r="A5" s="7">
        <v>4</v>
      </c>
      <c r="B5" s="7">
        <f t="shared" si="9"/>
        <v>440</v>
      </c>
      <c r="C5" s="7">
        <f t="shared" si="0"/>
        <v>10</v>
      </c>
      <c r="D5" s="7">
        <v>1</v>
      </c>
      <c r="E5" s="7">
        <f t="shared" si="1"/>
        <v>2</v>
      </c>
      <c r="F5" s="7">
        <f t="shared" si="2"/>
        <v>8</v>
      </c>
      <c r="G5" s="7">
        <f t="shared" si="3"/>
        <v>8</v>
      </c>
      <c r="H5" s="7">
        <v>1</v>
      </c>
      <c r="I5" s="7">
        <f t="shared" si="7"/>
        <v>201</v>
      </c>
      <c r="J5" s="7">
        <v>10</v>
      </c>
      <c r="K5" s="7" t="str">
        <f>IF(H5=1,"",INDEX($X$1:$X$3,MATCH(H5,$V$1:$V$3,0)))</f>
        <v/>
      </c>
      <c r="L5" s="7" t="str">
        <f>IF(H5=1,"",IF(H5=2,5,1))</f>
        <v/>
      </c>
      <c r="M5" s="7">
        <v>20</v>
      </c>
      <c r="N5" s="7">
        <f t="shared" si="8"/>
        <v>201</v>
      </c>
      <c r="O5" s="7">
        <v>10</v>
      </c>
      <c r="P5" s="7" t="str">
        <f>IF(H5=1,"",INDEX($X$1:$X$3,MATCH(H5,$V$1:$V$3,0)))</f>
        <v/>
      </c>
      <c r="Q5" s="7" t="str">
        <f t="shared" si="4"/>
        <v/>
      </c>
      <c r="R5" s="7">
        <v>20</v>
      </c>
      <c r="S5" s="7">
        <f t="shared" si="5"/>
        <v>20</v>
      </c>
      <c r="T5" s="7"/>
      <c r="U5" s="7">
        <f t="shared" si="6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 t="shared" si="9"/>
        <v>560</v>
      </c>
      <c r="C6" s="7">
        <f t="shared" si="0"/>
        <v>13</v>
      </c>
      <c r="D6" s="7">
        <v>2</v>
      </c>
      <c r="E6" s="7">
        <f t="shared" si="1"/>
        <v>3</v>
      </c>
      <c r="F6" s="7">
        <f t="shared" si="2"/>
        <v>10</v>
      </c>
      <c r="G6" s="7">
        <f t="shared" si="3"/>
        <v>15</v>
      </c>
      <c r="H6" s="7">
        <v>2</v>
      </c>
      <c r="I6" s="7">
        <f t="shared" si="7"/>
        <v>202</v>
      </c>
      <c r="J6" s="7">
        <v>5</v>
      </c>
      <c r="K6" s="7">
        <f>IF(H6=1,"",INDEX($X$1:$X$3,MATCH(H6,$V$1:$V$3,0)))</f>
        <v>205</v>
      </c>
      <c r="L6" s="7">
        <f t="shared" ref="L6:L11" si="10">IF(H6=1,"",IF(H6=2,5,1))</f>
        <v>5</v>
      </c>
      <c r="M6" s="7">
        <v>40</v>
      </c>
      <c r="N6" s="7">
        <f t="shared" si="8"/>
        <v>202</v>
      </c>
      <c r="O6" s="7">
        <v>5</v>
      </c>
      <c r="P6" s="7">
        <f>IF(H6=1,"",INDEX($X$1:$X$3,MATCH(H6,$V$1:$V$3,0)))</f>
        <v>205</v>
      </c>
      <c r="Q6" s="7">
        <f t="shared" si="4"/>
        <v>5</v>
      </c>
      <c r="R6" s="7">
        <v>20</v>
      </c>
      <c r="S6" s="7">
        <f t="shared" si="5"/>
        <v>20</v>
      </c>
      <c r="T6" s="7"/>
      <c r="U6" s="7">
        <f t="shared" si="6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1">ROUND(85*Y6/100,0)</f>
        <v>68</v>
      </c>
      <c r="AA6" s="7">
        <f t="shared" ref="AA6:AA10" si="12">ROUND($W$13*Y6/100,0)</f>
        <v>48</v>
      </c>
    </row>
    <row r="7" spans="1:27">
      <c r="A7" s="7">
        <v>6</v>
      </c>
      <c r="B7" s="7">
        <f t="shared" si="9"/>
        <v>680</v>
      </c>
      <c r="C7" s="7">
        <f t="shared" si="0"/>
        <v>15</v>
      </c>
      <c r="D7" s="7">
        <v>2</v>
      </c>
      <c r="E7" s="7">
        <f t="shared" si="1"/>
        <v>3</v>
      </c>
      <c r="F7" s="7">
        <f t="shared" si="2"/>
        <v>12</v>
      </c>
      <c r="G7" s="7">
        <f t="shared" si="3"/>
        <v>18</v>
      </c>
      <c r="H7" s="7">
        <v>1</v>
      </c>
      <c r="I7" s="7">
        <f t="shared" si="7"/>
        <v>202</v>
      </c>
      <c r="J7" s="7">
        <v>15</v>
      </c>
      <c r="K7" s="7" t="str">
        <f>IF(H7=1,"",INDEX($X$1:$X$3,MATCH(H7,$V$1:$V$3,0)))</f>
        <v/>
      </c>
      <c r="L7" s="7" t="str">
        <f t="shared" si="10"/>
        <v/>
      </c>
      <c r="M7" s="7">
        <v>60</v>
      </c>
      <c r="N7" s="7">
        <f t="shared" si="8"/>
        <v>202</v>
      </c>
      <c r="O7" s="7">
        <v>15</v>
      </c>
      <c r="P7" s="7" t="str">
        <f>IF(H7=1,"",INDEX($X$1:$X$3,MATCH(H7,$V$1:$V$3,0)))</f>
        <v/>
      </c>
      <c r="Q7" s="7" t="str">
        <f t="shared" si="4"/>
        <v/>
      </c>
      <c r="R7" s="7">
        <v>20</v>
      </c>
      <c r="S7" s="7">
        <f t="shared" si="5"/>
        <v>30</v>
      </c>
      <c r="T7" s="7"/>
      <c r="U7" s="7">
        <f t="shared" si="6"/>
        <v>30</v>
      </c>
      <c r="V7" s="7">
        <v>2</v>
      </c>
      <c r="W7" s="7" t="s">
        <v>583</v>
      </c>
      <c r="X7" s="7">
        <v>90</v>
      </c>
      <c r="Y7" s="4">
        <v>3</v>
      </c>
      <c r="Z7" s="7">
        <f t="shared" si="11"/>
        <v>3</v>
      </c>
      <c r="AA7" s="7">
        <f t="shared" si="12"/>
        <v>2</v>
      </c>
    </row>
    <row r="8" spans="1:27">
      <c r="A8" s="7">
        <v>7</v>
      </c>
      <c r="B8" s="7">
        <f t="shared" si="9"/>
        <v>800</v>
      </c>
      <c r="C8" s="7">
        <f t="shared" si="0"/>
        <v>18</v>
      </c>
      <c r="D8" s="7">
        <v>3</v>
      </c>
      <c r="E8" s="7">
        <f t="shared" si="1"/>
        <v>3</v>
      </c>
      <c r="F8" s="7">
        <f t="shared" si="2"/>
        <v>14</v>
      </c>
      <c r="G8" s="7">
        <f t="shared" si="3"/>
        <v>21</v>
      </c>
      <c r="H8" s="7">
        <v>1</v>
      </c>
      <c r="I8" s="7">
        <f t="shared" si="7"/>
        <v>202</v>
      </c>
      <c r="J8" s="7">
        <v>15</v>
      </c>
      <c r="K8" s="7" t="str">
        <f>IF(H8=1,"",INDEX($X$1:$X$3,MATCH(H8,$V$1:$V$3,0)))</f>
        <v/>
      </c>
      <c r="L8" s="7" t="str">
        <f t="shared" si="10"/>
        <v/>
      </c>
      <c r="M8" s="7">
        <v>80</v>
      </c>
      <c r="N8" s="7">
        <f t="shared" si="8"/>
        <v>202</v>
      </c>
      <c r="O8" s="7">
        <v>15</v>
      </c>
      <c r="P8" s="7" t="str">
        <f>IF(H8=1,"",INDEX($X$1:$X$3,MATCH(H8,$V$1:$V$3,0)))</f>
        <v/>
      </c>
      <c r="Q8" s="7" t="str">
        <f t="shared" si="4"/>
        <v/>
      </c>
      <c r="R8" s="7">
        <v>20</v>
      </c>
      <c r="S8" s="7">
        <f t="shared" si="5"/>
        <v>30</v>
      </c>
      <c r="T8" s="7"/>
      <c r="U8" s="7">
        <f t="shared" si="6"/>
        <v>30</v>
      </c>
      <c r="V8" s="7">
        <v>3</v>
      </c>
      <c r="W8" s="7" t="s">
        <v>584</v>
      </c>
      <c r="X8" s="7">
        <v>50</v>
      </c>
      <c r="Y8" s="4">
        <v>3</v>
      </c>
      <c r="Z8" s="7">
        <f t="shared" si="11"/>
        <v>3</v>
      </c>
      <c r="AA8" s="7">
        <f t="shared" si="12"/>
        <v>2</v>
      </c>
    </row>
    <row r="9" spans="1:27">
      <c r="A9" s="7">
        <v>8</v>
      </c>
      <c r="B9" s="7">
        <f t="shared" si="9"/>
        <v>920</v>
      </c>
      <c r="C9" s="7">
        <f t="shared" si="0"/>
        <v>20</v>
      </c>
      <c r="D9" s="7">
        <v>3</v>
      </c>
      <c r="E9" s="7">
        <f t="shared" si="1"/>
        <v>3</v>
      </c>
      <c r="F9" s="7">
        <f t="shared" si="2"/>
        <v>16</v>
      </c>
      <c r="G9" s="7">
        <f t="shared" si="3"/>
        <v>24</v>
      </c>
      <c r="H9" s="7">
        <v>1</v>
      </c>
      <c r="I9" s="7">
        <f t="shared" si="7"/>
        <v>202</v>
      </c>
      <c r="J9" s="7">
        <v>15</v>
      </c>
      <c r="K9" s="7" t="str">
        <f>IF(H9=1,"",INDEX($X$1:$X$3,MATCH(H9,$V$1:$V$3,0)))</f>
        <v/>
      </c>
      <c r="L9" s="7" t="str">
        <f t="shared" si="10"/>
        <v/>
      </c>
      <c r="M9" s="7">
        <v>110</v>
      </c>
      <c r="N9" s="7">
        <f t="shared" si="8"/>
        <v>202</v>
      </c>
      <c r="O9" s="7">
        <v>15</v>
      </c>
      <c r="P9" s="7" t="str">
        <f>IF(H9=1,"",INDEX($X$1:$X$3,MATCH(H9,$V$1:$V$3,0)))</f>
        <v/>
      </c>
      <c r="Q9" s="7" t="str">
        <f t="shared" si="4"/>
        <v/>
      </c>
      <c r="R9" s="7">
        <v>20</v>
      </c>
      <c r="S9" s="7">
        <f t="shared" si="5"/>
        <v>30</v>
      </c>
      <c r="T9" s="7"/>
      <c r="U9" s="7">
        <f t="shared" si="6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11"/>
        <v>5</v>
      </c>
      <c r="AA9" s="7">
        <f t="shared" si="12"/>
        <v>4</v>
      </c>
    </row>
    <row r="10" spans="1:27">
      <c r="A10" s="7">
        <v>9</v>
      </c>
      <c r="B10" s="7">
        <f t="shared" si="9"/>
        <v>1060</v>
      </c>
      <c r="C10" s="7">
        <f t="shared" si="0"/>
        <v>23</v>
      </c>
      <c r="D10" s="7">
        <v>4</v>
      </c>
      <c r="E10" s="7">
        <f t="shared" si="1"/>
        <v>3</v>
      </c>
      <c r="F10" s="7">
        <f t="shared" si="2"/>
        <v>18</v>
      </c>
      <c r="G10" s="7">
        <f t="shared" si="3"/>
        <v>27</v>
      </c>
      <c r="H10" s="7">
        <v>1</v>
      </c>
      <c r="I10" s="7">
        <f t="shared" si="7"/>
        <v>202</v>
      </c>
      <c r="J10" s="7">
        <v>15</v>
      </c>
      <c r="K10" s="7" t="str">
        <f>IF(H10=1,"",INDEX($X$1:$X$3,MATCH(H10,$V$1:$V$3,0)))</f>
        <v/>
      </c>
      <c r="L10" s="7" t="str">
        <f t="shared" si="10"/>
        <v/>
      </c>
      <c r="M10" s="7">
        <v>140</v>
      </c>
      <c r="N10" s="7">
        <f t="shared" si="8"/>
        <v>202</v>
      </c>
      <c r="O10" s="7">
        <v>15</v>
      </c>
      <c r="P10" s="7" t="str">
        <f>IF(H10=1,"",INDEX($X$1:$X$3,MATCH(H10,$V$1:$V$3,0)))</f>
        <v/>
      </c>
      <c r="Q10" s="7" t="str">
        <f t="shared" si="4"/>
        <v/>
      </c>
      <c r="R10" s="7">
        <v>40</v>
      </c>
      <c r="S10" s="7">
        <f t="shared" si="5"/>
        <v>30</v>
      </c>
      <c r="T10" s="7"/>
      <c r="U10" s="7">
        <f t="shared" si="6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1"/>
        <v>7</v>
      </c>
      <c r="AA10" s="7">
        <f t="shared" si="12"/>
        <v>5</v>
      </c>
    </row>
    <row r="11" spans="1:27">
      <c r="A11" s="7">
        <v>10</v>
      </c>
      <c r="B11" s="7">
        <f t="shared" si="9"/>
        <v>1200</v>
      </c>
      <c r="C11" s="7">
        <f t="shared" si="0"/>
        <v>25</v>
      </c>
      <c r="D11" s="7">
        <v>6</v>
      </c>
      <c r="E11" s="7">
        <f t="shared" si="1"/>
        <v>3</v>
      </c>
      <c r="F11" s="7">
        <f t="shared" si="2"/>
        <v>20</v>
      </c>
      <c r="G11" s="7">
        <f t="shared" si="3"/>
        <v>30</v>
      </c>
      <c r="H11" s="7">
        <v>3</v>
      </c>
      <c r="I11" s="7">
        <f t="shared" si="7"/>
        <v>202</v>
      </c>
      <c r="J11" s="7">
        <v>15</v>
      </c>
      <c r="K11" s="7">
        <v>206</v>
      </c>
      <c r="L11" s="7">
        <v>1</v>
      </c>
      <c r="M11" s="7">
        <v>180</v>
      </c>
      <c r="N11" s="7">
        <f t="shared" si="8"/>
        <v>202</v>
      </c>
      <c r="O11" s="7">
        <v>15</v>
      </c>
      <c r="P11" s="7">
        <v>206</v>
      </c>
      <c r="Q11" s="7">
        <v>1</v>
      </c>
      <c r="R11" s="7">
        <v>40</v>
      </c>
      <c r="S11" s="7">
        <f t="shared" si="5"/>
        <v>32</v>
      </c>
      <c r="T11" s="7"/>
      <c r="U11" s="7">
        <f t="shared" si="6"/>
        <v>31</v>
      </c>
      <c r="V11" s="7"/>
      <c r="Y11" s="4"/>
      <c r="AA11" s="7"/>
    </row>
    <row r="12" spans="1:27">
      <c r="A12" s="7">
        <v>11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N12" s="7"/>
      <c r="O12" s="7"/>
      <c r="P12" s="7"/>
      <c r="Q12" s="7"/>
      <c r="R12" s="7"/>
      <c r="S12" s="7"/>
      <c r="T12" s="7"/>
      <c r="U12" s="7">
        <f t="shared" si="6"/>
        <v>15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>
        <f t="shared" si="6"/>
        <v>15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6"/>
        <v>15</v>
      </c>
      <c r="V14" s="7"/>
      <c r="Y14" s="4"/>
      <c r="AA14" s="7"/>
    </row>
    <row r="15" spans="1:27">
      <c r="A15" s="7">
        <v>14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6"/>
        <v>15</v>
      </c>
      <c r="V15" s="7"/>
      <c r="Y15" s="4"/>
      <c r="AA15" s="7"/>
    </row>
    <row r="16" spans="1:27">
      <c r="A16" s="7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6"/>
        <v>15</v>
      </c>
      <c r="V16" s="7"/>
      <c r="Y16" s="4"/>
      <c r="AA16" s="7"/>
    </row>
    <row r="17" spans="1:27">
      <c r="A17" s="7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Y17" s="4"/>
      <c r="AA17" s="7"/>
    </row>
    <row r="18" spans="1:27">
      <c r="A18" s="7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Y18" s="4"/>
      <c r="AA18" s="7"/>
    </row>
    <row r="19" spans="1:27">
      <c r="A19" s="7">
        <v>18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Y19" s="4"/>
      <c r="AA19" s="7"/>
    </row>
    <row r="20" spans="1:27">
      <c r="A20" s="7">
        <v>19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Y20" s="4"/>
      <c r="AA20" s="7"/>
    </row>
    <row r="21" spans="1:27">
      <c r="A21" s="7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Y32" s="4"/>
      <c r="AA32" s="7"/>
    </row>
    <row r="33" spans="1:2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I50" si="13">IF(I2="","",_xlfn.TEXTJOIN(",",TRUE,I2:J2))</f>
        <v>201,10</v>
      </c>
      <c r="J40" s="7" t="str">
        <f t="shared" ref="J40:J69" si="14">IF(I40="","",_xlfn.TEXTJOIN(",",TRUE,I40,H40))</f>
        <v>201,10,1</v>
      </c>
      <c r="K40" s="7" t="str">
        <f t="shared" ref="K40:K50" si="15">IF(K2="","",_xlfn.TEXTJOIN(",",TRUE,K2:L2))</f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>201,10,1</v>
      </c>
      <c r="N40" s="7" t="str">
        <f t="shared" ref="N40:N50" si="18">IF(N2="","",_xlfn.TEXTJOIN(",",TRUE,N2:O2))</f>
        <v>201,10</v>
      </c>
      <c r="O40" s="7" t="str">
        <f t="shared" ref="O40:O69" si="19">IF(N40="","",N40&amp;","&amp;H40)</f>
        <v>201,10,1</v>
      </c>
      <c r="P40" s="7" t="str">
        <f t="shared" ref="P40:P69" si="20">IF(P2="","",P2&amp;","&amp;Q2)</f>
        <v/>
      </c>
      <c r="Q40" s="7" t="str">
        <f t="shared" ref="Q40:Q69" si="21">IF(P40="","",P40&amp;","&amp;H40)</f>
        <v/>
      </c>
      <c r="R40" s="7" t="str">
        <f t="shared" ref="R40:R69" si="22">_xlfn.TEXTJOIN(";",TRUE,O40,Q40)</f>
        <v>201,10,1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si="13"/>
        <v>201,10</v>
      </c>
      <c r="J41" s="7" t="str">
        <f t="shared" si="14"/>
        <v>201,10,2</v>
      </c>
      <c r="K41" s="7" t="str">
        <f t="shared" si="15"/>
        <v/>
      </c>
      <c r="L41" s="7" t="str">
        <f t="shared" si="16"/>
        <v/>
      </c>
      <c r="M41" s="7" t="str">
        <f t="shared" si="17"/>
        <v>201,10,2</v>
      </c>
      <c r="N41" s="7" t="str">
        <f t="shared" si="18"/>
        <v>201,10</v>
      </c>
      <c r="O41" s="7" t="str">
        <f t="shared" si="19"/>
        <v>201,10,2</v>
      </c>
      <c r="P41" s="7" t="str">
        <f t="shared" si="20"/>
        <v/>
      </c>
      <c r="Q41" s="7" t="str">
        <f t="shared" si="21"/>
        <v/>
      </c>
      <c r="R41" s="7" t="str">
        <f t="shared" si="22"/>
        <v>201,10,2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si="13"/>
        <v>201,10</v>
      </c>
      <c r="J42" s="7" t="str">
        <f t="shared" si="14"/>
        <v>201,10,3</v>
      </c>
      <c r="K42" s="7" t="str">
        <f t="shared" si="15"/>
        <v/>
      </c>
      <c r="L42" s="7" t="str">
        <f t="shared" si="16"/>
        <v/>
      </c>
      <c r="M42" s="7" t="str">
        <f t="shared" si="17"/>
        <v>201,10,3</v>
      </c>
      <c r="N42" s="7" t="str">
        <f t="shared" si="18"/>
        <v>201,10</v>
      </c>
      <c r="O42" s="7" t="str">
        <f t="shared" si="19"/>
        <v>201,10,3</v>
      </c>
      <c r="P42" s="7" t="str">
        <f t="shared" si="20"/>
        <v/>
      </c>
      <c r="Q42" s="7" t="str">
        <f t="shared" si="21"/>
        <v/>
      </c>
      <c r="R42" s="7" t="str">
        <f t="shared" si="22"/>
        <v>201,10,3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si="13"/>
        <v>201,10</v>
      </c>
      <c r="J43" s="7" t="str">
        <f t="shared" si="14"/>
        <v>201,10,4</v>
      </c>
      <c r="K43" s="7" t="str">
        <f t="shared" si="15"/>
        <v/>
      </c>
      <c r="L43" s="7" t="str">
        <f t="shared" si="16"/>
        <v/>
      </c>
      <c r="M43" s="7" t="str">
        <f t="shared" si="17"/>
        <v>201,10,4</v>
      </c>
      <c r="N43" s="7" t="str">
        <f t="shared" si="18"/>
        <v>201,10</v>
      </c>
      <c r="O43" s="7" t="str">
        <f t="shared" si="19"/>
        <v>201,10,4</v>
      </c>
      <c r="P43" s="7" t="str">
        <f t="shared" si="20"/>
        <v/>
      </c>
      <c r="Q43" s="7" t="str">
        <f t="shared" si="21"/>
        <v/>
      </c>
      <c r="R43" s="7" t="str">
        <f t="shared" si="22"/>
        <v>201,10,4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si="13"/>
        <v>202,5</v>
      </c>
      <c r="J44" s="7" t="str">
        <f t="shared" si="14"/>
        <v>202,5,5</v>
      </c>
      <c r="K44" s="7" t="str">
        <f t="shared" si="15"/>
        <v>205,5</v>
      </c>
      <c r="L44" s="7" t="str">
        <f t="shared" si="16"/>
        <v>205,5,5</v>
      </c>
      <c r="M44" s="7" t="str">
        <f t="shared" si="17"/>
        <v>202,5,5;205,5,5</v>
      </c>
      <c r="N44" s="7" t="str">
        <f t="shared" si="18"/>
        <v>202,5</v>
      </c>
      <c r="O44" s="7" t="str">
        <f t="shared" si="19"/>
        <v>202,5,5</v>
      </c>
      <c r="P44" s="7" t="str">
        <f t="shared" si="20"/>
        <v>205,5</v>
      </c>
      <c r="Q44" s="7" t="str">
        <f t="shared" si="21"/>
        <v>205,5,5</v>
      </c>
      <c r="R44" s="7" t="str">
        <f t="shared" si="22"/>
        <v>202,5,5;205,5,5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si="13"/>
        <v>202,15</v>
      </c>
      <c r="J45" s="7" t="str">
        <f t="shared" si="14"/>
        <v>202,15,6</v>
      </c>
      <c r="K45" s="7" t="str">
        <f t="shared" si="15"/>
        <v/>
      </c>
      <c r="L45" s="7" t="str">
        <f t="shared" si="16"/>
        <v/>
      </c>
      <c r="M45" s="7" t="str">
        <f t="shared" si="17"/>
        <v>202,15,6</v>
      </c>
      <c r="N45" s="7" t="str">
        <f t="shared" si="18"/>
        <v>202,15</v>
      </c>
      <c r="O45" s="7" t="str">
        <f t="shared" si="19"/>
        <v>202,15,6</v>
      </c>
      <c r="P45" s="7" t="str">
        <f t="shared" si="20"/>
        <v/>
      </c>
      <c r="Q45" s="7" t="str">
        <f t="shared" si="21"/>
        <v/>
      </c>
      <c r="R45" s="7" t="str">
        <f t="shared" si="22"/>
        <v>202,15,6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si="13"/>
        <v>202,15</v>
      </c>
      <c r="J46" s="7" t="str">
        <f t="shared" si="14"/>
        <v>202,15,7</v>
      </c>
      <c r="K46" s="7" t="str">
        <f t="shared" si="15"/>
        <v/>
      </c>
      <c r="L46" s="7" t="str">
        <f t="shared" si="16"/>
        <v/>
      </c>
      <c r="M46" s="7" t="str">
        <f t="shared" si="17"/>
        <v>202,15,7</v>
      </c>
      <c r="N46" s="7" t="str">
        <f t="shared" si="18"/>
        <v>202,15</v>
      </c>
      <c r="O46" s="7" t="str">
        <f t="shared" si="19"/>
        <v>202,15,7</v>
      </c>
      <c r="P46" s="7" t="str">
        <f t="shared" si="20"/>
        <v/>
      </c>
      <c r="Q46" s="7" t="str">
        <f t="shared" si="21"/>
        <v/>
      </c>
      <c r="R46" s="7" t="str">
        <f t="shared" si="22"/>
        <v>202,15,7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si="13"/>
        <v>202,15</v>
      </c>
      <c r="J47" s="7" t="str">
        <f t="shared" si="14"/>
        <v>202,15,8</v>
      </c>
      <c r="K47" s="7" t="str">
        <f t="shared" si="15"/>
        <v/>
      </c>
      <c r="L47" s="7" t="str">
        <f t="shared" si="16"/>
        <v/>
      </c>
      <c r="M47" s="7" t="str">
        <f t="shared" si="17"/>
        <v>202,15,8</v>
      </c>
      <c r="N47" s="7" t="str">
        <f t="shared" si="18"/>
        <v>202,15</v>
      </c>
      <c r="O47" s="7" t="str">
        <f t="shared" si="19"/>
        <v>202,15,8</v>
      </c>
      <c r="P47" s="7" t="str">
        <f t="shared" si="20"/>
        <v/>
      </c>
      <c r="Q47" s="7" t="str">
        <f t="shared" si="21"/>
        <v/>
      </c>
      <c r="R47" s="7" t="str">
        <f t="shared" si="22"/>
        <v>202,15,8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si="13"/>
        <v>202,15</v>
      </c>
      <c r="J48" s="7" t="str">
        <f t="shared" si="14"/>
        <v>202,15,9</v>
      </c>
      <c r="K48" s="7" t="str">
        <f t="shared" si="15"/>
        <v/>
      </c>
      <c r="L48" s="7" t="str">
        <f t="shared" si="16"/>
        <v/>
      </c>
      <c r="M48" s="7" t="str">
        <f t="shared" si="17"/>
        <v>202,15,9</v>
      </c>
      <c r="N48" s="7" t="str">
        <f t="shared" si="18"/>
        <v>202,15</v>
      </c>
      <c r="O48" s="7" t="str">
        <f t="shared" si="19"/>
        <v>202,15,9</v>
      </c>
      <c r="P48" s="7" t="str">
        <f t="shared" si="20"/>
        <v/>
      </c>
      <c r="Q48" s="7" t="str">
        <f t="shared" si="21"/>
        <v/>
      </c>
      <c r="R48" s="7" t="str">
        <f t="shared" si="22"/>
        <v>202,15,9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si="13"/>
        <v>202,15</v>
      </c>
      <c r="J49" s="7" t="str">
        <f t="shared" si="14"/>
        <v>202,15,10</v>
      </c>
      <c r="K49" s="7" t="str">
        <f t="shared" si="15"/>
        <v>206,1</v>
      </c>
      <c r="L49" s="7" t="str">
        <f t="shared" si="16"/>
        <v>206,1,10</v>
      </c>
      <c r="M49" s="7" t="str">
        <f t="shared" si="17"/>
        <v>202,15,10;206,1,10</v>
      </c>
      <c r="N49" s="7" t="str">
        <f t="shared" si="18"/>
        <v>202,15</v>
      </c>
      <c r="O49" s="7" t="str">
        <f t="shared" si="19"/>
        <v>202,15,10</v>
      </c>
      <c r="P49" s="7" t="str">
        <f t="shared" si="20"/>
        <v>206,1</v>
      </c>
      <c r="Q49" s="7" t="str">
        <f t="shared" si="21"/>
        <v>206,1,10</v>
      </c>
      <c r="R49" s="7" t="str">
        <f t="shared" si="22"/>
        <v>202,15,10;206,1,10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si="13"/>
        <v/>
      </c>
      <c r="J50" s="7" t="str">
        <f t="shared" si="14"/>
        <v/>
      </c>
      <c r="K50" s="7" t="str">
        <f t="shared" si="15"/>
        <v/>
      </c>
      <c r="L50" s="7" t="str">
        <f t="shared" si="16"/>
        <v/>
      </c>
      <c r="M50" s="7" t="str">
        <f t="shared" si="17"/>
        <v/>
      </c>
      <c r="N50" s="7" t="str">
        <f t="shared" si="18"/>
        <v/>
      </c>
      <c r="O50" s="7" t="str">
        <f t="shared" si="19"/>
        <v/>
      </c>
      <c r="P50" s="7" t="str">
        <f t="shared" si="20"/>
        <v/>
      </c>
      <c r="Q50" s="7" t="str">
        <f t="shared" si="21"/>
        <v/>
      </c>
      <c r="R50" s="7" t="str">
        <f t="shared" si="22"/>
        <v/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23">IF(I13="","",_xlfn.TEXTJOIN(",",TRUE,I13:J13))</f>
        <v/>
      </c>
      <c r="J51" s="7" t="str">
        <f t="shared" si="14"/>
        <v/>
      </c>
      <c r="K51" s="7" t="str">
        <f t="shared" si="23"/>
        <v/>
      </c>
      <c r="L51" s="7" t="str">
        <f t="shared" si="16"/>
        <v/>
      </c>
      <c r="M51" s="7" t="str">
        <f t="shared" si="17"/>
        <v/>
      </c>
      <c r="N51" s="7" t="str">
        <f t="shared" si="23"/>
        <v/>
      </c>
      <c r="O51" s="7" t="str">
        <f t="shared" si="19"/>
        <v/>
      </c>
      <c r="P51" s="7" t="str">
        <f t="shared" si="20"/>
        <v/>
      </c>
      <c r="Q51" s="7" t="str">
        <f t="shared" si="21"/>
        <v/>
      </c>
      <c r="R51" s="7" t="str">
        <f t="shared" si="22"/>
        <v/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24">IF(I14="","",_xlfn.TEXTJOIN(",",TRUE,I14:J14))</f>
        <v/>
      </c>
      <c r="J52" s="7" t="str">
        <f t="shared" si="14"/>
        <v/>
      </c>
      <c r="K52" s="7" t="str">
        <f t="shared" si="24"/>
        <v/>
      </c>
      <c r="L52" s="7" t="str">
        <f t="shared" si="16"/>
        <v/>
      </c>
      <c r="M52" s="7" t="str">
        <f t="shared" si="17"/>
        <v/>
      </c>
      <c r="N52" s="7" t="str">
        <f t="shared" si="24"/>
        <v/>
      </c>
      <c r="O52" s="7" t="str">
        <f t="shared" si="19"/>
        <v/>
      </c>
      <c r="P52" s="7" t="str">
        <f t="shared" si="20"/>
        <v/>
      </c>
      <c r="Q52" s="7" t="str">
        <f t="shared" si="21"/>
        <v/>
      </c>
      <c r="R52" s="7" t="str">
        <f t="shared" si="22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25">IF(I15="","",_xlfn.TEXTJOIN(",",TRUE,I15:J15))</f>
        <v/>
      </c>
      <c r="J53" s="7" t="str">
        <f t="shared" si="14"/>
        <v/>
      </c>
      <c r="K53" s="7" t="str">
        <f t="shared" si="25"/>
        <v/>
      </c>
      <c r="L53" s="7" t="str">
        <f t="shared" si="16"/>
        <v/>
      </c>
      <c r="M53" s="7" t="str">
        <f t="shared" si="17"/>
        <v/>
      </c>
      <c r="N53" s="7" t="str">
        <f t="shared" si="25"/>
        <v/>
      </c>
      <c r="O53" s="7" t="str">
        <f t="shared" si="19"/>
        <v/>
      </c>
      <c r="P53" s="7" t="str">
        <f t="shared" si="20"/>
        <v/>
      </c>
      <c r="Q53" s="7" t="str">
        <f t="shared" si="21"/>
        <v/>
      </c>
      <c r="R53" s="7" t="str">
        <f t="shared" si="22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26">IF(I16="","",_xlfn.TEXTJOIN(",",TRUE,I16:J16))</f>
        <v/>
      </c>
      <c r="J54" s="7" t="str">
        <f t="shared" si="14"/>
        <v/>
      </c>
      <c r="K54" s="7" t="str">
        <f t="shared" si="26"/>
        <v/>
      </c>
      <c r="L54" s="7" t="str">
        <f t="shared" si="16"/>
        <v/>
      </c>
      <c r="M54" s="7" t="str">
        <f t="shared" si="17"/>
        <v/>
      </c>
      <c r="N54" s="7" t="str">
        <f t="shared" si="26"/>
        <v/>
      </c>
      <c r="O54" s="7" t="str">
        <f t="shared" si="19"/>
        <v/>
      </c>
      <c r="P54" s="7" t="str">
        <f t="shared" si="20"/>
        <v/>
      </c>
      <c r="Q54" s="7" t="str">
        <f t="shared" si="21"/>
        <v/>
      </c>
      <c r="R54" s="7" t="str">
        <f t="shared" si="22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27">IF(I17="","",_xlfn.TEXTJOIN(",",TRUE,I17:J17))</f>
        <v/>
      </c>
      <c r="J55" s="7" t="str">
        <f t="shared" si="14"/>
        <v/>
      </c>
      <c r="K55" s="7" t="str">
        <f t="shared" si="27"/>
        <v/>
      </c>
      <c r="L55" s="7" t="str">
        <f t="shared" si="16"/>
        <v/>
      </c>
      <c r="M55" s="7" t="str">
        <f t="shared" si="17"/>
        <v/>
      </c>
      <c r="N55" s="7" t="str">
        <f t="shared" si="27"/>
        <v/>
      </c>
      <c r="O55" s="7" t="str">
        <f t="shared" si="19"/>
        <v/>
      </c>
      <c r="P55" s="7" t="str">
        <f t="shared" si="20"/>
        <v/>
      </c>
      <c r="Q55" s="7" t="str">
        <f t="shared" si="21"/>
        <v/>
      </c>
      <c r="R55" s="7" t="str">
        <f t="shared" si="22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28">IF(I18="","",_xlfn.TEXTJOIN(",",TRUE,I18:J18))</f>
        <v/>
      </c>
      <c r="J56" s="7" t="str">
        <f t="shared" si="14"/>
        <v/>
      </c>
      <c r="K56" s="7" t="str">
        <f t="shared" si="28"/>
        <v/>
      </c>
      <c r="L56" s="7" t="str">
        <f t="shared" si="16"/>
        <v/>
      </c>
      <c r="M56" s="7" t="str">
        <f t="shared" si="17"/>
        <v/>
      </c>
      <c r="N56" s="7" t="str">
        <f t="shared" si="28"/>
        <v/>
      </c>
      <c r="O56" s="7" t="str">
        <f t="shared" si="19"/>
        <v/>
      </c>
      <c r="P56" s="7" t="str">
        <f t="shared" si="20"/>
        <v/>
      </c>
      <c r="Q56" s="7" t="str">
        <f t="shared" si="21"/>
        <v/>
      </c>
      <c r="R56" s="7" t="str">
        <f t="shared" si="22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29">IF(I19="","",_xlfn.TEXTJOIN(",",TRUE,I19:J19))</f>
        <v/>
      </c>
      <c r="J57" s="7" t="str">
        <f t="shared" si="14"/>
        <v/>
      </c>
      <c r="K57" s="7" t="str">
        <f t="shared" si="29"/>
        <v/>
      </c>
      <c r="L57" s="7" t="str">
        <f t="shared" si="16"/>
        <v/>
      </c>
      <c r="M57" s="7" t="str">
        <f t="shared" si="17"/>
        <v/>
      </c>
      <c r="N57" s="7" t="str">
        <f t="shared" si="29"/>
        <v/>
      </c>
      <c r="O57" s="7" t="str">
        <f t="shared" si="19"/>
        <v/>
      </c>
      <c r="P57" s="7" t="str">
        <f t="shared" si="20"/>
        <v/>
      </c>
      <c r="Q57" s="7" t="str">
        <f t="shared" si="21"/>
        <v/>
      </c>
      <c r="R57" s="7" t="str">
        <f t="shared" si="22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0">IF(I20="","",_xlfn.TEXTJOIN(",",TRUE,I20:J20))</f>
        <v/>
      </c>
      <c r="J58" s="7" t="str">
        <f t="shared" si="14"/>
        <v/>
      </c>
      <c r="K58" s="7" t="str">
        <f t="shared" si="30"/>
        <v/>
      </c>
      <c r="L58" s="7" t="str">
        <f t="shared" si="16"/>
        <v/>
      </c>
      <c r="M58" s="7" t="str">
        <f t="shared" si="17"/>
        <v/>
      </c>
      <c r="N58" s="7" t="str">
        <f t="shared" si="30"/>
        <v/>
      </c>
      <c r="O58" s="7" t="str">
        <f t="shared" si="19"/>
        <v/>
      </c>
      <c r="P58" s="7" t="str">
        <f t="shared" si="20"/>
        <v/>
      </c>
      <c r="Q58" s="7" t="str">
        <f t="shared" si="21"/>
        <v/>
      </c>
      <c r="R58" s="7" t="str">
        <f t="shared" si="22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1">IF(I21="","",_xlfn.TEXTJOIN(",",TRUE,I21:J21))</f>
        <v/>
      </c>
      <c r="J59" s="7" t="str">
        <f t="shared" si="14"/>
        <v/>
      </c>
      <c r="K59" s="7" t="str">
        <f t="shared" si="31"/>
        <v/>
      </c>
      <c r="L59" s="7" t="str">
        <f t="shared" si="16"/>
        <v/>
      </c>
      <c r="M59" s="7" t="str">
        <f t="shared" si="17"/>
        <v/>
      </c>
      <c r="N59" s="7" t="str">
        <f t="shared" si="31"/>
        <v/>
      </c>
      <c r="O59" s="7" t="str">
        <f t="shared" si="19"/>
        <v/>
      </c>
      <c r="P59" s="7" t="str">
        <f t="shared" si="20"/>
        <v/>
      </c>
      <c r="Q59" s="7" t="str">
        <f t="shared" si="21"/>
        <v/>
      </c>
      <c r="R59" s="7" t="str">
        <f t="shared" si="22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2">IF(I22="","",_xlfn.TEXTJOIN(",",TRUE,I22:J22))</f>
        <v/>
      </c>
      <c r="J60" s="7" t="str">
        <f t="shared" si="14"/>
        <v/>
      </c>
      <c r="K60" s="7" t="str">
        <f t="shared" si="32"/>
        <v/>
      </c>
      <c r="L60" s="7" t="str">
        <f t="shared" si="16"/>
        <v/>
      </c>
      <c r="M60" s="7" t="str">
        <f t="shared" si="17"/>
        <v/>
      </c>
      <c r="N60" s="7" t="str">
        <f t="shared" si="32"/>
        <v/>
      </c>
      <c r="O60" s="7" t="str">
        <f t="shared" si="19"/>
        <v/>
      </c>
      <c r="P60" s="7" t="str">
        <f t="shared" si="20"/>
        <v/>
      </c>
      <c r="Q60" s="7" t="str">
        <f t="shared" si="21"/>
        <v/>
      </c>
      <c r="R60" s="7" t="str">
        <f t="shared" si="22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33">IF(I23="","",_xlfn.TEXTJOIN(",",TRUE,I23:J23))</f>
        <v/>
      </c>
      <c r="J61" s="7" t="str">
        <f t="shared" si="14"/>
        <v/>
      </c>
      <c r="K61" s="7" t="str">
        <f t="shared" si="33"/>
        <v/>
      </c>
      <c r="L61" s="7" t="str">
        <f t="shared" si="16"/>
        <v/>
      </c>
      <c r="M61" s="7" t="str">
        <f t="shared" si="17"/>
        <v/>
      </c>
      <c r="N61" s="7" t="str">
        <f t="shared" si="33"/>
        <v/>
      </c>
      <c r="O61" s="7" t="str">
        <f t="shared" si="19"/>
        <v/>
      </c>
      <c r="P61" s="7" t="str">
        <f t="shared" si="20"/>
        <v/>
      </c>
      <c r="Q61" s="7" t="str">
        <f t="shared" si="21"/>
        <v/>
      </c>
      <c r="R61" s="7" t="str">
        <f t="shared" si="22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34">IF(I24="","",_xlfn.TEXTJOIN(",",TRUE,I24:J24))</f>
        <v/>
      </c>
      <c r="J62" s="7" t="str">
        <f t="shared" si="14"/>
        <v/>
      </c>
      <c r="K62" s="7" t="str">
        <f t="shared" si="34"/>
        <v/>
      </c>
      <c r="L62" s="7" t="str">
        <f t="shared" si="16"/>
        <v/>
      </c>
      <c r="M62" s="7" t="str">
        <f t="shared" si="17"/>
        <v/>
      </c>
      <c r="N62" s="7" t="str">
        <f t="shared" si="34"/>
        <v/>
      </c>
      <c r="O62" s="7" t="str">
        <f t="shared" si="19"/>
        <v/>
      </c>
      <c r="P62" s="7" t="str">
        <f t="shared" si="20"/>
        <v/>
      </c>
      <c r="Q62" s="7" t="str">
        <f t="shared" si="21"/>
        <v/>
      </c>
      <c r="R62" s="7" t="str">
        <f t="shared" si="22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35">IF(I25="","",_xlfn.TEXTJOIN(",",TRUE,I25:J25))</f>
        <v/>
      </c>
      <c r="J63" s="7" t="str">
        <f t="shared" si="14"/>
        <v/>
      </c>
      <c r="K63" s="7" t="str">
        <f t="shared" si="35"/>
        <v/>
      </c>
      <c r="L63" s="7" t="str">
        <f t="shared" si="16"/>
        <v/>
      </c>
      <c r="M63" s="7" t="str">
        <f t="shared" si="17"/>
        <v/>
      </c>
      <c r="N63" s="7" t="str">
        <f t="shared" si="35"/>
        <v/>
      </c>
      <c r="O63" s="7" t="str">
        <f t="shared" si="19"/>
        <v/>
      </c>
      <c r="P63" s="7" t="str">
        <f t="shared" si="20"/>
        <v/>
      </c>
      <c r="Q63" s="7" t="str">
        <f t="shared" si="21"/>
        <v/>
      </c>
      <c r="R63" s="7" t="str">
        <f t="shared" si="22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36">IF(I26="","",_xlfn.TEXTJOIN(",",TRUE,I26:J26))</f>
        <v/>
      </c>
      <c r="J64" s="7" t="str">
        <f t="shared" si="14"/>
        <v/>
      </c>
      <c r="K64" s="7" t="str">
        <f t="shared" si="36"/>
        <v/>
      </c>
      <c r="L64" s="7" t="str">
        <f t="shared" si="16"/>
        <v/>
      </c>
      <c r="M64" s="7" t="str">
        <f t="shared" si="17"/>
        <v/>
      </c>
      <c r="N64" s="7" t="str">
        <f t="shared" si="36"/>
        <v/>
      </c>
      <c r="O64" s="7" t="str">
        <f t="shared" si="19"/>
        <v/>
      </c>
      <c r="P64" s="7" t="str">
        <f t="shared" si="20"/>
        <v/>
      </c>
      <c r="Q64" s="7" t="str">
        <f t="shared" si="21"/>
        <v/>
      </c>
      <c r="R64" s="7" t="str">
        <f t="shared" si="22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37">IF(I27="","",_xlfn.TEXTJOIN(",",TRUE,I27:J27))</f>
        <v/>
      </c>
      <c r="J65" s="7" t="str">
        <f t="shared" si="14"/>
        <v/>
      </c>
      <c r="K65" s="7" t="str">
        <f t="shared" si="37"/>
        <v/>
      </c>
      <c r="L65" s="7" t="str">
        <f t="shared" si="16"/>
        <v/>
      </c>
      <c r="M65" s="7" t="str">
        <f t="shared" si="17"/>
        <v/>
      </c>
      <c r="N65" s="7" t="str">
        <f t="shared" si="37"/>
        <v/>
      </c>
      <c r="O65" s="7" t="str">
        <f t="shared" si="19"/>
        <v/>
      </c>
      <c r="P65" s="7" t="str">
        <f t="shared" si="20"/>
        <v/>
      </c>
      <c r="Q65" s="7" t="str">
        <f t="shared" si="21"/>
        <v/>
      </c>
      <c r="R65" s="7" t="str">
        <f t="shared" si="22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38">IF(I28="","",_xlfn.TEXTJOIN(",",TRUE,I28:J28))</f>
        <v/>
      </c>
      <c r="J66" s="7" t="str">
        <f t="shared" si="14"/>
        <v/>
      </c>
      <c r="K66" s="7" t="str">
        <f t="shared" si="38"/>
        <v/>
      </c>
      <c r="L66" s="7" t="str">
        <f t="shared" si="16"/>
        <v/>
      </c>
      <c r="M66" s="7" t="str">
        <f t="shared" si="17"/>
        <v/>
      </c>
      <c r="N66" s="7" t="str">
        <f t="shared" si="38"/>
        <v/>
      </c>
      <c r="O66" s="7" t="str">
        <f t="shared" si="19"/>
        <v/>
      </c>
      <c r="P66" s="7" t="str">
        <f t="shared" si="20"/>
        <v/>
      </c>
      <c r="Q66" s="7" t="str">
        <f t="shared" si="21"/>
        <v/>
      </c>
      <c r="R66" s="7" t="str">
        <f t="shared" si="22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39">IF(I29="","",_xlfn.TEXTJOIN(",",TRUE,I29:J29))</f>
        <v/>
      </c>
      <c r="J67" s="7" t="str">
        <f t="shared" si="14"/>
        <v/>
      </c>
      <c r="K67" s="7" t="str">
        <f t="shared" si="39"/>
        <v/>
      </c>
      <c r="L67" s="7" t="str">
        <f t="shared" si="16"/>
        <v/>
      </c>
      <c r="M67" s="7" t="str">
        <f t="shared" si="17"/>
        <v/>
      </c>
      <c r="N67" s="7" t="str">
        <f t="shared" si="39"/>
        <v/>
      </c>
      <c r="O67" s="7" t="str">
        <f t="shared" si="19"/>
        <v/>
      </c>
      <c r="P67" s="7" t="str">
        <f t="shared" si="20"/>
        <v/>
      </c>
      <c r="Q67" s="7" t="str">
        <f t="shared" si="21"/>
        <v/>
      </c>
      <c r="R67" s="7" t="str">
        <f t="shared" si="22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0">IF(I30="","",_xlfn.TEXTJOIN(",",TRUE,I30:J30))</f>
        <v/>
      </c>
      <c r="J68" s="7" t="str">
        <f t="shared" si="14"/>
        <v/>
      </c>
      <c r="K68" s="7" t="str">
        <f t="shared" si="40"/>
        <v/>
      </c>
      <c r="L68" s="7" t="str">
        <f t="shared" si="16"/>
        <v/>
      </c>
      <c r="M68" s="7" t="str">
        <f t="shared" si="17"/>
        <v/>
      </c>
      <c r="N68" s="7" t="str">
        <f t="shared" si="40"/>
        <v/>
      </c>
      <c r="O68" s="7" t="str">
        <f t="shared" si="19"/>
        <v/>
      </c>
      <c r="P68" s="7" t="str">
        <f t="shared" si="20"/>
        <v/>
      </c>
      <c r="Q68" s="7" t="str">
        <f t="shared" si="21"/>
        <v/>
      </c>
      <c r="R68" s="7" t="str">
        <f t="shared" si="22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1">IF(I31="","",_xlfn.TEXTJOIN(",",TRUE,I31:J31))</f>
        <v/>
      </c>
      <c r="J69" s="7" t="str">
        <f t="shared" si="14"/>
        <v/>
      </c>
      <c r="K69" s="7" t="str">
        <f t="shared" si="41"/>
        <v/>
      </c>
      <c r="L69" s="7" t="str">
        <f t="shared" si="16"/>
        <v/>
      </c>
      <c r="M69" s="7" t="str">
        <f t="shared" si="17"/>
        <v/>
      </c>
      <c r="N69" s="7" t="str">
        <f t="shared" si="41"/>
        <v/>
      </c>
      <c r="O69" s="7" t="str">
        <f t="shared" si="19"/>
        <v/>
      </c>
      <c r="P69" s="7" t="str">
        <f t="shared" si="20"/>
        <v/>
      </c>
      <c r="Q69" s="7" t="str">
        <f t="shared" si="21"/>
        <v/>
      </c>
      <c r="R69" s="7" t="str">
        <f t="shared" si="22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27" t="str">
        <f>_xlfn.TEXTJOIN("|",TRUE,M40:M69)</f>
        <v>201,10,1|201,10,2|201,10,3|201,10,4|202,5,5;205,5,5|202,15,6|202,15,7|202,15,8|202,15,9|202,15,10;206,1,10</v>
      </c>
      <c r="N71" s="7"/>
      <c r="O71" s="7"/>
      <c r="P71" s="7"/>
      <c r="Q71" s="7"/>
      <c r="R71" s="27" t="str">
        <f>_xlfn.TEXTJOIN("|",TRUE,R40:R69)</f>
        <v>201,10,1|201,10,2|201,10,3|201,10,4|202,5,5;205,5,5|202,15,6|202,15,7|202,15,8|202,15,9|202,15,10;206,1,10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3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1</v>
      </c>
      <c r="O79" s="4">
        <f>W79*(1-(N79-1)/6)*1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>SUM(P79:T79)+O79*0.2</f>
        <v>0.4</v>
      </c>
      <c r="V79" s="4">
        <v>1</v>
      </c>
      <c r="W79" s="7">
        <f>C2</f>
        <v>2</v>
      </c>
      <c r="X79" s="4">
        <f t="shared" ref="X79:X103" si="42">(O79*W79)^V79</f>
        <v>4</v>
      </c>
      <c r="Y79" s="4">
        <f t="shared" ref="Y79:Y103" si="43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>$R$77*U79*(AB79+AC79)</f>
        <v>350</v>
      </c>
      <c r="AE79" s="4">
        <f t="shared" ref="AE79:AE103" si="44">ROUND(AD79/AA79*V79,0)</f>
        <v>18</v>
      </c>
      <c r="AF79" s="4">
        <f t="shared" ref="AF79:AF103" si="45">ROUND(AD79/AA79*V79*AG79,0)</f>
        <v>5</v>
      </c>
      <c r="AG79" s="4">
        <v>0.3</v>
      </c>
    </row>
    <row r="80" customFormat="1" spans="1:33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1</v>
      </c>
      <c r="O80" s="4">
        <f>W80*(1-(N80-1)/6)*1</f>
        <v>5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f t="shared" ref="U80:U103" si="46">SUM(P80:T80)+O80*0.2</f>
        <v>1</v>
      </c>
      <c r="V80" s="4">
        <v>1</v>
      </c>
      <c r="W80" s="7">
        <f t="shared" ref="W80:W93" si="47">C3</f>
        <v>5</v>
      </c>
      <c r="X80" s="4">
        <f t="shared" si="42"/>
        <v>25</v>
      </c>
      <c r="Y80" s="4">
        <f t="shared" si="43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ref="AD80:AD103" si="48">$R$77*U80*(AB80+AC80)</f>
        <v>875</v>
      </c>
      <c r="AE80" s="4">
        <f t="shared" si="44"/>
        <v>44</v>
      </c>
      <c r="AF80" s="4">
        <f t="shared" si="45"/>
        <v>20</v>
      </c>
      <c r="AG80" s="4">
        <v>0.45</v>
      </c>
    </row>
    <row r="81" customFormat="1" spans="1:33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2</v>
      </c>
      <c r="O81" s="4">
        <f>W81*(1-(N81-1)/6)*1</f>
        <v>6.66666666666667</v>
      </c>
      <c r="P81" s="7">
        <f>W81/6*1</f>
        <v>1.33333333333333</v>
      </c>
      <c r="Q81" s="7">
        <v>0</v>
      </c>
      <c r="R81" s="7">
        <v>0</v>
      </c>
      <c r="S81" s="7">
        <v>0</v>
      </c>
      <c r="T81" s="7">
        <v>0</v>
      </c>
      <c r="U81" s="7">
        <f t="shared" si="46"/>
        <v>2.66666666666667</v>
      </c>
      <c r="V81" s="4">
        <v>1</v>
      </c>
      <c r="W81" s="7">
        <f t="shared" si="47"/>
        <v>8</v>
      </c>
      <c r="X81" s="4">
        <f t="shared" si="42"/>
        <v>53.3333333333333</v>
      </c>
      <c r="Y81" s="4">
        <f t="shared" si="43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48"/>
        <v>2333.33333333333</v>
      </c>
      <c r="AE81" s="4">
        <f t="shared" si="44"/>
        <v>117</v>
      </c>
      <c r="AF81" s="4">
        <f t="shared" si="45"/>
        <v>70</v>
      </c>
      <c r="AG81" s="4">
        <v>0.6</v>
      </c>
    </row>
    <row r="82" customFormat="1" spans="1:33">
      <c r="A82" s="4">
        <v>4</v>
      </c>
      <c r="B82" s="7">
        <v>1</v>
      </c>
      <c r="C82" s="7"/>
      <c r="D82" s="7"/>
      <c r="E82" s="7"/>
      <c r="F82" s="7"/>
      <c r="G82" s="7"/>
      <c r="H82" s="4"/>
      <c r="I82" s="4"/>
      <c r="J82" s="7"/>
      <c r="K82" s="7"/>
      <c r="L82" s="7">
        <v>0</v>
      </c>
      <c r="M82" s="7">
        <v>0</v>
      </c>
      <c r="N82" s="7">
        <v>2</v>
      </c>
      <c r="O82" s="4">
        <f>W82*(1-(N82-1)/6)*1</f>
        <v>8.33333333333333</v>
      </c>
      <c r="P82" s="7">
        <f>W82/6*1</f>
        <v>1.66666666666667</v>
      </c>
      <c r="Q82" s="7">
        <v>0</v>
      </c>
      <c r="R82" s="7">
        <v>0</v>
      </c>
      <c r="S82" s="7">
        <v>0</v>
      </c>
      <c r="T82" s="7">
        <v>0</v>
      </c>
      <c r="U82" s="7">
        <f t="shared" si="46"/>
        <v>3.33333333333333</v>
      </c>
      <c r="V82" s="4">
        <v>1</v>
      </c>
      <c r="W82" s="7">
        <f t="shared" si="47"/>
        <v>10</v>
      </c>
      <c r="X82" s="4">
        <f t="shared" si="42"/>
        <v>83.3333333333333</v>
      </c>
      <c r="Y82" s="4">
        <f t="shared" si="43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48"/>
        <v>2916.66666666667</v>
      </c>
      <c r="AE82" s="4">
        <f t="shared" si="44"/>
        <v>146</v>
      </c>
      <c r="AF82" s="4">
        <f t="shared" si="45"/>
        <v>102</v>
      </c>
      <c r="AG82" s="4">
        <v>0.7</v>
      </c>
    </row>
    <row r="83" customFormat="1" spans="1:33">
      <c r="A83" s="9">
        <v>5</v>
      </c>
      <c r="B83" s="10"/>
      <c r="C83" s="10"/>
      <c r="D83" s="10"/>
      <c r="E83" s="10"/>
      <c r="F83" s="10"/>
      <c r="G83" s="10"/>
      <c r="H83" s="4">
        <v>0.5</v>
      </c>
      <c r="I83" s="4"/>
      <c r="J83" s="7"/>
      <c r="K83" s="7"/>
      <c r="L83" s="7">
        <v>0</v>
      </c>
      <c r="M83" s="7">
        <v>0</v>
      </c>
      <c r="N83" s="7">
        <v>3</v>
      </c>
      <c r="O83" s="4">
        <f>W83*(1-(N83-1)/6)*(1+0.5)</f>
        <v>13</v>
      </c>
      <c r="P83" s="7">
        <f>W83/6*1</f>
        <v>2.16666666666667</v>
      </c>
      <c r="Q83" s="7">
        <f>W83/6*1</f>
        <v>2.16666666666667</v>
      </c>
      <c r="R83" s="7">
        <v>0</v>
      </c>
      <c r="S83" s="7">
        <v>0</v>
      </c>
      <c r="T83" s="7">
        <v>0</v>
      </c>
      <c r="U83" s="7">
        <f t="shared" si="46"/>
        <v>6.93333333333333</v>
      </c>
      <c r="V83" s="4">
        <v>1</v>
      </c>
      <c r="W83" s="7">
        <f t="shared" si="47"/>
        <v>13</v>
      </c>
      <c r="X83" s="4">
        <f t="shared" si="42"/>
        <v>169</v>
      </c>
      <c r="Y83" s="4">
        <f t="shared" si="43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48"/>
        <v>6066.66666666667</v>
      </c>
      <c r="AE83" s="4">
        <f t="shared" si="44"/>
        <v>152</v>
      </c>
      <c r="AF83" s="4">
        <f t="shared" si="45"/>
        <v>106</v>
      </c>
      <c r="AG83" s="4">
        <v>0.7</v>
      </c>
    </row>
    <row r="84" customFormat="1" spans="1:33">
      <c r="A84" s="4">
        <v>6</v>
      </c>
      <c r="B84" s="7"/>
      <c r="C84" s="7">
        <v>1</v>
      </c>
      <c r="D84" s="7"/>
      <c r="E84" s="7"/>
      <c r="F84" s="7"/>
      <c r="G84" s="7"/>
      <c r="H84" s="4"/>
      <c r="I84" s="4"/>
      <c r="J84" s="7"/>
      <c r="K84" s="7"/>
      <c r="L84" s="7">
        <v>0</v>
      </c>
      <c r="M84" s="7">
        <v>0</v>
      </c>
      <c r="N84" s="7">
        <v>3</v>
      </c>
      <c r="O84" s="4">
        <f>W84*(1-(N84-1)/6)*(1+0.5)</f>
        <v>15</v>
      </c>
      <c r="P84" s="7">
        <f>W84/6*1</f>
        <v>2.5</v>
      </c>
      <c r="Q84" s="7">
        <f>W84/6*1</f>
        <v>2.5</v>
      </c>
      <c r="R84" s="7">
        <v>0</v>
      </c>
      <c r="S84" s="7">
        <v>0</v>
      </c>
      <c r="T84" s="7">
        <v>0</v>
      </c>
      <c r="U84" s="7">
        <f t="shared" si="46"/>
        <v>8</v>
      </c>
      <c r="V84" s="4">
        <v>1</v>
      </c>
      <c r="W84" s="7">
        <f t="shared" si="47"/>
        <v>15</v>
      </c>
      <c r="X84" s="4">
        <f t="shared" si="42"/>
        <v>225</v>
      </c>
      <c r="Y84" s="4">
        <f t="shared" si="43"/>
        <v>0</v>
      </c>
      <c r="Z84" s="7">
        <v>1</v>
      </c>
      <c r="AA84" s="7">
        <v>30</v>
      </c>
      <c r="AB84" s="7">
        <v>25</v>
      </c>
      <c r="AC84" s="7">
        <v>10</v>
      </c>
      <c r="AD84" s="7">
        <f t="shared" si="48"/>
        <v>7000</v>
      </c>
      <c r="AE84" s="4">
        <f t="shared" si="44"/>
        <v>233</v>
      </c>
      <c r="AF84" s="4">
        <f t="shared" si="45"/>
        <v>175</v>
      </c>
      <c r="AG84" s="4">
        <v>0.75</v>
      </c>
    </row>
    <row r="85" customFormat="1" spans="1:33">
      <c r="A85" s="9">
        <v>7</v>
      </c>
      <c r="B85" s="10"/>
      <c r="C85" s="10"/>
      <c r="D85" s="10">
        <v>1</v>
      </c>
      <c r="E85" s="10"/>
      <c r="F85" s="10"/>
      <c r="G85" s="10"/>
      <c r="H85" s="4"/>
      <c r="I85" s="4">
        <v>0.5</v>
      </c>
      <c r="J85" s="7"/>
      <c r="K85" s="7"/>
      <c r="L85" s="7">
        <v>0</v>
      </c>
      <c r="M85" s="7">
        <v>0</v>
      </c>
      <c r="N85" s="7">
        <v>3</v>
      </c>
      <c r="O85" s="4">
        <f>W85*(1-(N85-1)/6)*(1+0.5)</f>
        <v>18</v>
      </c>
      <c r="P85" s="7">
        <f>W85/6*(1+0.5)</f>
        <v>4.5</v>
      </c>
      <c r="Q85" s="7">
        <f>W85/6*1</f>
        <v>3</v>
      </c>
      <c r="R85" s="7">
        <v>0</v>
      </c>
      <c r="S85" s="7">
        <v>0</v>
      </c>
      <c r="T85" s="7">
        <v>0</v>
      </c>
      <c r="U85" s="7">
        <f t="shared" si="46"/>
        <v>11.1</v>
      </c>
      <c r="V85" s="4">
        <v>1</v>
      </c>
      <c r="W85" s="7">
        <f t="shared" si="47"/>
        <v>18</v>
      </c>
      <c r="X85" s="4">
        <f t="shared" si="42"/>
        <v>324</v>
      </c>
      <c r="Y85" s="4">
        <f t="shared" si="43"/>
        <v>0</v>
      </c>
      <c r="Z85" s="7">
        <v>1</v>
      </c>
      <c r="AA85" s="7">
        <v>30</v>
      </c>
      <c r="AB85" s="7">
        <v>25</v>
      </c>
      <c r="AC85" s="7">
        <v>10</v>
      </c>
      <c r="AD85" s="7">
        <f t="shared" si="48"/>
        <v>9712.5</v>
      </c>
      <c r="AE85" s="4">
        <f t="shared" si="44"/>
        <v>324</v>
      </c>
      <c r="AF85" s="4">
        <f t="shared" si="45"/>
        <v>259</v>
      </c>
      <c r="AG85" s="4">
        <v>0.8</v>
      </c>
    </row>
    <row r="86" customFormat="1" spans="1:33">
      <c r="A86" s="4">
        <v>8</v>
      </c>
      <c r="B86" s="7">
        <v>1</v>
      </c>
      <c r="C86" s="7">
        <v>1</v>
      </c>
      <c r="D86" s="7"/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3</v>
      </c>
      <c r="O86" s="4">
        <f>W86*(1-(N86-1)/6)*(1+0.5)</f>
        <v>20</v>
      </c>
      <c r="P86" s="7">
        <f>W86/6*(1+0.5)</f>
        <v>5</v>
      </c>
      <c r="Q86" s="7">
        <f>W86/6*(1+1)</f>
        <v>6.66666666666667</v>
      </c>
      <c r="R86" s="7">
        <v>0</v>
      </c>
      <c r="S86" s="7">
        <v>0</v>
      </c>
      <c r="T86" s="7">
        <v>0</v>
      </c>
      <c r="U86" s="7">
        <f t="shared" si="46"/>
        <v>15.6666666666667</v>
      </c>
      <c r="V86" s="4">
        <v>1</v>
      </c>
      <c r="W86" s="7">
        <f t="shared" si="47"/>
        <v>20</v>
      </c>
      <c r="X86" s="4">
        <f t="shared" si="42"/>
        <v>400</v>
      </c>
      <c r="Y86" s="4">
        <f t="shared" si="43"/>
        <v>0</v>
      </c>
      <c r="Z86" s="7">
        <v>1</v>
      </c>
      <c r="AA86" s="7">
        <v>30</v>
      </c>
      <c r="AB86" s="7">
        <v>25</v>
      </c>
      <c r="AC86" s="7">
        <v>10</v>
      </c>
      <c r="AD86" s="7">
        <f t="shared" si="48"/>
        <v>13708.3333333333</v>
      </c>
      <c r="AE86" s="4">
        <f t="shared" si="44"/>
        <v>457</v>
      </c>
      <c r="AF86" s="4">
        <f t="shared" si="45"/>
        <v>434</v>
      </c>
      <c r="AG86" s="4">
        <v>0.95</v>
      </c>
    </row>
    <row r="87" customFormat="1" spans="1:33">
      <c r="A87" s="9">
        <v>9</v>
      </c>
      <c r="B87" s="10">
        <v>1</v>
      </c>
      <c r="C87" s="10"/>
      <c r="D87" s="10">
        <v>1</v>
      </c>
      <c r="E87" s="10"/>
      <c r="F87" s="10"/>
      <c r="G87" s="10"/>
      <c r="H87" s="4">
        <v>0.5</v>
      </c>
      <c r="I87" s="4">
        <v>0.5</v>
      </c>
      <c r="J87" s="7"/>
      <c r="K87" s="7"/>
      <c r="L87" s="7">
        <v>0</v>
      </c>
      <c r="M87" s="7">
        <v>0</v>
      </c>
      <c r="N87" s="7">
        <v>3</v>
      </c>
      <c r="O87" s="4">
        <f>W87*(1-(N87-1)/6)*(1+1)</f>
        <v>30.6666666666667</v>
      </c>
      <c r="P87" s="7">
        <f>W87/6*(1+1)</f>
        <v>7.66666666666667</v>
      </c>
      <c r="Q87" s="7">
        <f>W87/6*(1+1)</f>
        <v>7.66666666666667</v>
      </c>
      <c r="R87" s="7">
        <v>0</v>
      </c>
      <c r="S87" s="7">
        <v>0</v>
      </c>
      <c r="T87" s="7">
        <v>0</v>
      </c>
      <c r="U87" s="7">
        <f t="shared" si="46"/>
        <v>21.4666666666667</v>
      </c>
      <c r="V87" s="4">
        <v>1</v>
      </c>
      <c r="W87" s="7">
        <f t="shared" si="47"/>
        <v>23</v>
      </c>
      <c r="X87" s="4">
        <f t="shared" si="42"/>
        <v>705.333333333333</v>
      </c>
      <c r="Y87" s="4">
        <f t="shared" si="43"/>
        <v>0</v>
      </c>
      <c r="Z87" s="7">
        <v>1</v>
      </c>
      <c r="AA87" s="7">
        <v>30</v>
      </c>
      <c r="AB87" s="7">
        <v>25</v>
      </c>
      <c r="AC87" s="7">
        <v>10</v>
      </c>
      <c r="AD87" s="7">
        <f t="shared" si="48"/>
        <v>18783.3333333333</v>
      </c>
      <c r="AE87" s="4">
        <f t="shared" si="44"/>
        <v>626</v>
      </c>
      <c r="AF87" s="4">
        <f t="shared" si="45"/>
        <v>595</v>
      </c>
      <c r="AG87" s="4">
        <v>0.95</v>
      </c>
    </row>
    <row r="88" customFormat="1" spans="1:33">
      <c r="A88" s="11">
        <v>10</v>
      </c>
      <c r="B88" s="12"/>
      <c r="C88" s="12">
        <v>1</v>
      </c>
      <c r="D88" s="12"/>
      <c r="E88" s="12"/>
      <c r="F88" s="12"/>
      <c r="G88" s="12"/>
      <c r="H88" s="4">
        <v>1</v>
      </c>
      <c r="I88" s="4">
        <v>0.5</v>
      </c>
      <c r="J88" s="7">
        <v>0.5</v>
      </c>
      <c r="K88" s="7"/>
      <c r="L88" s="7">
        <v>0</v>
      </c>
      <c r="M88" s="7">
        <v>0</v>
      </c>
      <c r="N88" s="7">
        <v>3</v>
      </c>
      <c r="O88" s="4">
        <f>W88*(1-(N88-1)/6)*(1+1)*(1+1)</f>
        <v>66.6666666666667</v>
      </c>
      <c r="P88" s="7">
        <f>W88/6*(1+1)*(1+0.5)</f>
        <v>12.5</v>
      </c>
      <c r="Q88" s="7">
        <f>W88/6*(1+1)*(1+0.5)</f>
        <v>12.5</v>
      </c>
      <c r="R88" s="7">
        <v>0</v>
      </c>
      <c r="S88" s="7">
        <v>0</v>
      </c>
      <c r="T88" s="7">
        <v>0</v>
      </c>
      <c r="U88" s="7">
        <f t="shared" si="46"/>
        <v>38.3333333333333</v>
      </c>
      <c r="V88" s="4">
        <v>1</v>
      </c>
      <c r="W88" s="7">
        <f t="shared" si="47"/>
        <v>25</v>
      </c>
      <c r="X88" s="4">
        <f t="shared" si="42"/>
        <v>1666.66666666667</v>
      </c>
      <c r="Y88" s="4">
        <f t="shared" si="43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48"/>
        <v>33541.6666666667</v>
      </c>
      <c r="AE88" s="4">
        <f t="shared" si="44"/>
        <v>839</v>
      </c>
      <c r="AF88" s="4">
        <f t="shared" si="45"/>
        <v>839</v>
      </c>
      <c r="AG88" s="4">
        <v>1</v>
      </c>
    </row>
    <row r="89" customFormat="1" spans="1:33">
      <c r="A89" s="9">
        <v>11</v>
      </c>
      <c r="B89" s="10"/>
      <c r="C89" s="10"/>
      <c r="D89" s="10"/>
      <c r="E89" s="10"/>
      <c r="F89" s="10"/>
      <c r="G89" s="10"/>
      <c r="H89" s="4"/>
      <c r="I89" s="4"/>
      <c r="J89" s="7"/>
      <c r="K89" s="7"/>
      <c r="L89" s="7">
        <v>0</v>
      </c>
      <c r="M89" s="7">
        <v>0</v>
      </c>
      <c r="N89" s="7">
        <v>3</v>
      </c>
      <c r="O89" s="4">
        <f>W89*(1-(N89-1)/6)*(1+1)*(1+0.5)</f>
        <v>0</v>
      </c>
      <c r="P89" s="7">
        <f>W89/6*(1+1.5)*(1+1)</f>
        <v>0</v>
      </c>
      <c r="Q89" s="7">
        <f>W89/6*(1+1)</f>
        <v>0</v>
      </c>
      <c r="R89" s="7">
        <v>0</v>
      </c>
      <c r="S89" s="7">
        <v>0</v>
      </c>
      <c r="T89" s="7">
        <v>0</v>
      </c>
      <c r="U89" s="7">
        <f t="shared" si="46"/>
        <v>0</v>
      </c>
      <c r="V89" s="4">
        <v>1</v>
      </c>
      <c r="W89" s="7">
        <f t="shared" si="47"/>
        <v>0</v>
      </c>
      <c r="X89" s="4">
        <f t="shared" si="42"/>
        <v>0</v>
      </c>
      <c r="Y89" s="4">
        <f t="shared" si="43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48"/>
        <v>0</v>
      </c>
      <c r="AE89" s="4">
        <f t="shared" si="44"/>
        <v>0</v>
      </c>
      <c r="AF89" s="4">
        <f t="shared" si="45"/>
        <v>0</v>
      </c>
      <c r="AG89" s="4">
        <v>0.65</v>
      </c>
    </row>
    <row r="90" customFormat="1" spans="1:33">
      <c r="A90" s="9">
        <v>12</v>
      </c>
      <c r="B90" s="10"/>
      <c r="C90" s="10"/>
      <c r="D90" s="10"/>
      <c r="E90" s="10"/>
      <c r="F90" s="10"/>
      <c r="G90" s="10"/>
      <c r="H90" s="4"/>
      <c r="I90" s="4"/>
      <c r="J90" s="7"/>
      <c r="K90" s="7"/>
      <c r="L90" s="7">
        <v>0</v>
      </c>
      <c r="M90" s="7">
        <v>0</v>
      </c>
      <c r="N90" s="7">
        <v>3</v>
      </c>
      <c r="O90" s="4">
        <f>W90*(1-(N90-1)/6)*(1+1)*(1+1)</f>
        <v>0</v>
      </c>
      <c r="P90" s="7">
        <f>W90/6*(1+1.5)*(1+1)</f>
        <v>0</v>
      </c>
      <c r="Q90" s="7">
        <f>W90/6*(1+1)</f>
        <v>0</v>
      </c>
      <c r="R90" s="7">
        <v>0</v>
      </c>
      <c r="S90" s="7">
        <v>0</v>
      </c>
      <c r="T90" s="7">
        <v>0</v>
      </c>
      <c r="U90" s="7">
        <f t="shared" si="46"/>
        <v>0</v>
      </c>
      <c r="V90" s="4">
        <v>1</v>
      </c>
      <c r="W90" s="7">
        <f t="shared" si="47"/>
        <v>0</v>
      </c>
      <c r="X90" s="4">
        <f t="shared" si="42"/>
        <v>0</v>
      </c>
      <c r="Y90" s="4">
        <f t="shared" si="43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48"/>
        <v>0</v>
      </c>
      <c r="AE90" s="4">
        <f t="shared" si="44"/>
        <v>0</v>
      </c>
      <c r="AF90" s="4">
        <f t="shared" si="45"/>
        <v>0</v>
      </c>
      <c r="AG90" s="4">
        <v>0.7</v>
      </c>
    </row>
    <row r="91" customFormat="1" spans="1:33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/>
      <c r="K91" s="7"/>
      <c r="L91" s="7">
        <v>0</v>
      </c>
      <c r="M91" s="7">
        <v>0</v>
      </c>
      <c r="N91" s="7">
        <v>3</v>
      </c>
      <c r="O91" s="4">
        <f>W91*(1-(N91-1)/6)*(1+1)*(1+1)</f>
        <v>0</v>
      </c>
      <c r="P91" s="7">
        <f>W91/6*(1+1.5)*(1+1)</f>
        <v>0</v>
      </c>
      <c r="Q91" s="7">
        <f>W91/6*(1+1)*(1+0.5)</f>
        <v>0</v>
      </c>
      <c r="R91" s="7">
        <v>0</v>
      </c>
      <c r="S91" s="7">
        <v>0</v>
      </c>
      <c r="T91" s="7">
        <v>0</v>
      </c>
      <c r="U91" s="7">
        <f t="shared" si="46"/>
        <v>0</v>
      </c>
      <c r="V91" s="4">
        <v>1</v>
      </c>
      <c r="W91" s="7">
        <f t="shared" si="47"/>
        <v>0</v>
      </c>
      <c r="X91" s="4">
        <f t="shared" si="42"/>
        <v>0</v>
      </c>
      <c r="Y91" s="4">
        <f t="shared" si="43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48"/>
        <v>0</v>
      </c>
      <c r="AE91" s="4">
        <f t="shared" si="44"/>
        <v>0</v>
      </c>
      <c r="AF91" s="4">
        <f t="shared" si="45"/>
        <v>0</v>
      </c>
      <c r="AG91" s="4">
        <v>0.75</v>
      </c>
    </row>
    <row r="92" customFormat="1" spans="1:33">
      <c r="A92" s="9">
        <v>14</v>
      </c>
      <c r="B92" s="10"/>
      <c r="C92" s="10"/>
      <c r="D92" s="10"/>
      <c r="E92" s="10"/>
      <c r="F92" s="10"/>
      <c r="G92" s="10"/>
      <c r="H92" s="4"/>
      <c r="I92" s="4"/>
      <c r="J92" s="7"/>
      <c r="K92" s="7"/>
      <c r="L92" s="7">
        <v>0</v>
      </c>
      <c r="M92" s="7">
        <v>0</v>
      </c>
      <c r="N92" s="7">
        <v>3</v>
      </c>
      <c r="O92" s="4">
        <f>W92*(1-(N92-1)/6)*(1+1)*(1+1)</f>
        <v>0</v>
      </c>
      <c r="P92" s="7">
        <f>W92/6*(1+2)*(1+1)</f>
        <v>0</v>
      </c>
      <c r="Q92" s="7">
        <f>W92/6*(1+1)*(1+0.5)</f>
        <v>0</v>
      </c>
      <c r="R92" s="7">
        <v>0</v>
      </c>
      <c r="S92" s="7">
        <v>0</v>
      </c>
      <c r="T92" s="7">
        <v>0</v>
      </c>
      <c r="U92" s="7">
        <f t="shared" si="46"/>
        <v>0</v>
      </c>
      <c r="V92" s="4">
        <v>1</v>
      </c>
      <c r="W92" s="7">
        <f t="shared" si="47"/>
        <v>0</v>
      </c>
      <c r="X92" s="4">
        <f t="shared" si="42"/>
        <v>0</v>
      </c>
      <c r="Y92" s="4">
        <f t="shared" si="43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48"/>
        <v>0</v>
      </c>
      <c r="AE92" s="4">
        <f t="shared" si="44"/>
        <v>0</v>
      </c>
      <c r="AF92" s="4">
        <f t="shared" si="45"/>
        <v>0</v>
      </c>
      <c r="AG92" s="4">
        <v>0.75</v>
      </c>
    </row>
    <row r="93" customFormat="1" spans="1:33">
      <c r="A93" s="9">
        <v>15</v>
      </c>
      <c r="B93" s="10"/>
      <c r="C93" s="10"/>
      <c r="D93" s="10"/>
      <c r="E93" s="10"/>
      <c r="F93" s="10"/>
      <c r="G93" s="10"/>
      <c r="H93" s="4"/>
      <c r="I93" s="4"/>
      <c r="J93" s="7"/>
      <c r="K93" s="7"/>
      <c r="L93" s="7">
        <v>0</v>
      </c>
      <c r="M93" s="7">
        <v>0</v>
      </c>
      <c r="N93" s="7">
        <v>3</v>
      </c>
      <c r="O93" s="4">
        <f>W93*(1-(N93-1)/6)*(1+2)*(1+1)</f>
        <v>0</v>
      </c>
      <c r="P93" s="7">
        <f>W93/6*(1+2)*(1+1)</f>
        <v>0</v>
      </c>
      <c r="Q93" s="7">
        <f>W93/6*(1+1)*(1+0.5)</f>
        <v>0</v>
      </c>
      <c r="R93" s="7">
        <v>0</v>
      </c>
      <c r="S93" s="7">
        <v>0</v>
      </c>
      <c r="T93" s="7">
        <v>0</v>
      </c>
      <c r="U93" s="7">
        <f t="shared" si="46"/>
        <v>0</v>
      </c>
      <c r="V93" s="4">
        <v>1</v>
      </c>
      <c r="W93" s="7">
        <f t="shared" si="47"/>
        <v>0</v>
      </c>
      <c r="X93" s="4">
        <f t="shared" si="42"/>
        <v>0</v>
      </c>
      <c r="Y93" s="4">
        <f t="shared" si="43"/>
        <v>0</v>
      </c>
      <c r="Z93" s="7">
        <v>1</v>
      </c>
      <c r="AA93" s="7">
        <v>30</v>
      </c>
      <c r="AB93" s="7">
        <v>25</v>
      </c>
      <c r="AC93" s="7">
        <v>10</v>
      </c>
      <c r="AD93" s="7">
        <f t="shared" si="48"/>
        <v>0</v>
      </c>
      <c r="AE93" s="4">
        <f t="shared" si="44"/>
        <v>0</v>
      </c>
      <c r="AF93" s="4">
        <f t="shared" si="45"/>
        <v>0</v>
      </c>
      <c r="AG93" s="4">
        <v>0.7</v>
      </c>
    </row>
    <row r="94" customFormat="1" spans="1:33">
      <c r="A94" s="9">
        <v>16</v>
      </c>
      <c r="B94" s="10"/>
      <c r="C94" s="10"/>
      <c r="D94" s="10"/>
      <c r="E94" s="10"/>
      <c r="F94" s="10"/>
      <c r="G94" s="10"/>
      <c r="H94" s="4"/>
      <c r="I94" s="4"/>
      <c r="J94" s="7"/>
      <c r="K94" s="7"/>
      <c r="L94" s="7">
        <v>0</v>
      </c>
      <c r="M94" s="7">
        <v>0</v>
      </c>
      <c r="N94" s="7">
        <v>3</v>
      </c>
      <c r="O94" s="4">
        <f>W94*(1-(N94-1)/6)*(1+1)*(1+1)</f>
        <v>0</v>
      </c>
      <c r="P94" s="7">
        <f t="shared" ref="P91:P102" si="49">W94/N94*(1+0.5)*(1+0.5)</f>
        <v>0</v>
      </c>
      <c r="Q94" s="7">
        <f t="shared" ref="Q93:Q103" si="50">W94/N94*(1+0.5)*(1+0.5)</f>
        <v>0</v>
      </c>
      <c r="R94" s="7">
        <v>0</v>
      </c>
      <c r="S94" s="7">
        <f>W94/N94*(1+0.5)</f>
        <v>0</v>
      </c>
      <c r="T94" s="7">
        <f t="shared" ref="T89:T98" si="51">W94/N94*(1+0.5)</f>
        <v>0</v>
      </c>
      <c r="U94" s="7">
        <f t="shared" si="46"/>
        <v>0</v>
      </c>
      <c r="V94" s="4">
        <v>1.1</v>
      </c>
      <c r="W94" s="7">
        <f t="shared" ref="W94:W102" si="52">C17</f>
        <v>0</v>
      </c>
      <c r="X94" s="4">
        <f t="shared" si="42"/>
        <v>0</v>
      </c>
      <c r="Y94" s="4">
        <f t="shared" si="43"/>
        <v>0</v>
      </c>
      <c r="Z94" s="7">
        <v>1</v>
      </c>
      <c r="AA94" s="7">
        <v>40</v>
      </c>
      <c r="AB94" s="7">
        <v>25</v>
      </c>
      <c r="AC94" s="7">
        <v>10</v>
      </c>
      <c r="AD94" s="7">
        <f t="shared" si="48"/>
        <v>0</v>
      </c>
      <c r="AE94" s="4">
        <f t="shared" si="44"/>
        <v>0</v>
      </c>
      <c r="AF94" s="4">
        <f t="shared" si="45"/>
        <v>0</v>
      </c>
      <c r="AG94" s="4">
        <v>0.9</v>
      </c>
    </row>
    <row r="95" customFormat="1" spans="1:33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/>
      <c r="K95" s="7"/>
      <c r="L95" s="7">
        <v>0</v>
      </c>
      <c r="M95" s="7">
        <v>0</v>
      </c>
      <c r="N95" s="7">
        <v>3</v>
      </c>
      <c r="O95" s="4">
        <f t="shared" ref="O89:O100" si="53">W95/N95*(1+1)*(1+0.5)</f>
        <v>0</v>
      </c>
      <c r="P95" s="7">
        <f t="shared" si="49"/>
        <v>0</v>
      </c>
      <c r="Q95" s="7">
        <f t="shared" si="50"/>
        <v>0</v>
      </c>
      <c r="R95" s="7">
        <v>0</v>
      </c>
      <c r="S95" s="7">
        <f>W95/N95*(1+0.5)</f>
        <v>0</v>
      </c>
      <c r="T95" s="7">
        <f t="shared" si="51"/>
        <v>0</v>
      </c>
      <c r="U95" s="7">
        <f t="shared" si="46"/>
        <v>0</v>
      </c>
      <c r="V95" s="4">
        <v>1.1</v>
      </c>
      <c r="W95" s="7">
        <f t="shared" si="52"/>
        <v>0</v>
      </c>
      <c r="X95" s="4">
        <f t="shared" si="42"/>
        <v>0</v>
      </c>
      <c r="Y95" s="4">
        <f t="shared" si="43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48"/>
        <v>0</v>
      </c>
      <c r="AE95" s="4">
        <f t="shared" si="44"/>
        <v>0</v>
      </c>
      <c r="AF95" s="4">
        <f t="shared" si="45"/>
        <v>0</v>
      </c>
      <c r="AG95" s="4">
        <v>0.9</v>
      </c>
    </row>
    <row r="96" customFormat="1" spans="1:33">
      <c r="A96" s="9">
        <v>18</v>
      </c>
      <c r="B96" s="10"/>
      <c r="C96" s="10"/>
      <c r="D96" s="10"/>
      <c r="E96" s="10"/>
      <c r="F96" s="10"/>
      <c r="G96" s="10"/>
      <c r="H96" s="4"/>
      <c r="I96" s="4"/>
      <c r="J96" s="7"/>
      <c r="K96" s="7"/>
      <c r="L96" s="7">
        <v>0</v>
      </c>
      <c r="M96" s="7">
        <v>0</v>
      </c>
      <c r="N96" s="7">
        <v>3</v>
      </c>
      <c r="O96" s="4">
        <f t="shared" si="53"/>
        <v>0</v>
      </c>
      <c r="P96" s="7">
        <f t="shared" si="49"/>
        <v>0</v>
      </c>
      <c r="Q96" s="7">
        <f t="shared" si="50"/>
        <v>0</v>
      </c>
      <c r="R96" s="7">
        <v>0</v>
      </c>
      <c r="S96" s="7">
        <f>W96/N96*(1+0.5)</f>
        <v>0</v>
      </c>
      <c r="T96" s="7">
        <f t="shared" si="51"/>
        <v>0</v>
      </c>
      <c r="U96" s="7">
        <f t="shared" si="46"/>
        <v>0</v>
      </c>
      <c r="V96" s="4">
        <v>1.1</v>
      </c>
      <c r="W96" s="7">
        <f t="shared" si="52"/>
        <v>0</v>
      </c>
      <c r="X96" s="4">
        <f t="shared" si="42"/>
        <v>0</v>
      </c>
      <c r="Y96" s="4">
        <f t="shared" si="43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48"/>
        <v>0</v>
      </c>
      <c r="AE96" s="4">
        <f t="shared" si="44"/>
        <v>0</v>
      </c>
      <c r="AF96" s="4">
        <f t="shared" si="45"/>
        <v>0</v>
      </c>
      <c r="AG96" s="4">
        <v>0.9</v>
      </c>
    </row>
    <row r="97" customFormat="1" spans="1:33">
      <c r="A97" s="9">
        <v>19</v>
      </c>
      <c r="B97" s="10"/>
      <c r="C97" s="10"/>
      <c r="D97" s="10"/>
      <c r="E97" s="10"/>
      <c r="F97" s="10"/>
      <c r="G97" s="10"/>
      <c r="H97" s="4"/>
      <c r="I97" s="4"/>
      <c r="J97" s="7"/>
      <c r="K97" s="7"/>
      <c r="L97" s="7">
        <v>0</v>
      </c>
      <c r="M97" s="7">
        <v>0</v>
      </c>
      <c r="N97" s="7">
        <v>3</v>
      </c>
      <c r="O97" s="4">
        <f t="shared" si="53"/>
        <v>0</v>
      </c>
      <c r="P97" s="7">
        <f t="shared" si="49"/>
        <v>0</v>
      </c>
      <c r="Q97" s="7">
        <f t="shared" si="50"/>
        <v>0</v>
      </c>
      <c r="R97" s="7">
        <f t="shared" ref="R95:R103" si="54">W97/N97*(1+0.5)*(1+0.5)</f>
        <v>0</v>
      </c>
      <c r="S97" s="7">
        <f t="shared" ref="S97:S103" si="55">W97/N97*(1+0.5)*(1+0.5)</f>
        <v>0</v>
      </c>
      <c r="T97" s="7">
        <f t="shared" si="51"/>
        <v>0</v>
      </c>
      <c r="U97" s="7">
        <f t="shared" si="46"/>
        <v>0</v>
      </c>
      <c r="V97" s="4">
        <v>1.1</v>
      </c>
      <c r="W97" s="7">
        <f t="shared" si="52"/>
        <v>0</v>
      </c>
      <c r="X97" s="4">
        <f t="shared" si="42"/>
        <v>0</v>
      </c>
      <c r="Y97" s="4">
        <f t="shared" si="43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48"/>
        <v>0</v>
      </c>
      <c r="AE97" s="4">
        <f t="shared" si="44"/>
        <v>0</v>
      </c>
      <c r="AF97" s="4">
        <f t="shared" si="45"/>
        <v>0</v>
      </c>
      <c r="AG97" s="4">
        <v>0.9</v>
      </c>
    </row>
    <row r="98" customFormat="1" spans="1:33">
      <c r="A98" s="9">
        <v>20</v>
      </c>
      <c r="B98" s="10"/>
      <c r="C98" s="10"/>
      <c r="D98" s="10"/>
      <c r="E98" s="10"/>
      <c r="F98" s="10"/>
      <c r="G98" s="10"/>
      <c r="H98" s="4"/>
      <c r="I98" s="4"/>
      <c r="J98" s="7"/>
      <c r="K98" s="7"/>
      <c r="L98" s="7">
        <v>0</v>
      </c>
      <c r="M98" s="7">
        <v>0</v>
      </c>
      <c r="N98" s="7">
        <v>3</v>
      </c>
      <c r="O98" s="4">
        <f t="shared" si="53"/>
        <v>0</v>
      </c>
      <c r="P98" s="7">
        <f t="shared" si="49"/>
        <v>0</v>
      </c>
      <c r="Q98" s="7">
        <f t="shared" si="50"/>
        <v>0</v>
      </c>
      <c r="R98" s="7">
        <f t="shared" si="54"/>
        <v>0</v>
      </c>
      <c r="S98" s="7">
        <f t="shared" si="55"/>
        <v>0</v>
      </c>
      <c r="T98" s="7">
        <f t="shared" si="51"/>
        <v>0</v>
      </c>
      <c r="U98" s="7">
        <f t="shared" si="46"/>
        <v>0</v>
      </c>
      <c r="V98" s="4">
        <v>1.2</v>
      </c>
      <c r="W98" s="7">
        <f t="shared" si="52"/>
        <v>0</v>
      </c>
      <c r="X98" s="4">
        <f t="shared" si="42"/>
        <v>0</v>
      </c>
      <c r="Y98" s="4">
        <f t="shared" si="43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48"/>
        <v>0</v>
      </c>
      <c r="AE98" s="4">
        <f t="shared" si="44"/>
        <v>0</v>
      </c>
      <c r="AF98" s="4">
        <f t="shared" si="45"/>
        <v>0</v>
      </c>
      <c r="AG98" s="4">
        <v>1</v>
      </c>
    </row>
    <row r="99" spans="1:33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3</v>
      </c>
      <c r="O99" s="4">
        <f t="shared" si="53"/>
        <v>0</v>
      </c>
      <c r="P99" s="7">
        <f t="shared" si="49"/>
        <v>0</v>
      </c>
      <c r="Q99" s="7">
        <f t="shared" si="50"/>
        <v>0</v>
      </c>
      <c r="R99" s="7">
        <f t="shared" si="54"/>
        <v>0</v>
      </c>
      <c r="S99" s="7">
        <f t="shared" si="55"/>
        <v>0</v>
      </c>
      <c r="T99" s="7">
        <f>W99/N99*(1+0.5)*(1+0.5)</f>
        <v>0</v>
      </c>
      <c r="U99" s="7">
        <f t="shared" si="46"/>
        <v>0</v>
      </c>
      <c r="V99" s="4">
        <v>1.1</v>
      </c>
      <c r="W99" s="7">
        <f t="shared" si="52"/>
        <v>0</v>
      </c>
      <c r="X99" s="4">
        <f t="shared" si="42"/>
        <v>0</v>
      </c>
      <c r="Y99" s="4">
        <f t="shared" si="43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48"/>
        <v>0</v>
      </c>
      <c r="AE99" s="4">
        <f t="shared" si="44"/>
        <v>0</v>
      </c>
      <c r="AF99" s="4">
        <f t="shared" si="45"/>
        <v>0</v>
      </c>
      <c r="AG99" s="4">
        <v>1</v>
      </c>
    </row>
    <row r="100" spans="1:33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3</v>
      </c>
      <c r="O100" s="4">
        <f t="shared" si="53"/>
        <v>0</v>
      </c>
      <c r="P100" s="7">
        <f t="shared" si="49"/>
        <v>0</v>
      </c>
      <c r="Q100" s="7">
        <f t="shared" si="50"/>
        <v>0</v>
      </c>
      <c r="R100" s="7">
        <f t="shared" si="54"/>
        <v>0</v>
      </c>
      <c r="S100" s="7">
        <f t="shared" si="55"/>
        <v>0</v>
      </c>
      <c r="T100" s="7">
        <f>W100/N100*(1+0.5)*(1+0.5)</f>
        <v>0</v>
      </c>
      <c r="U100" s="7">
        <f t="shared" si="46"/>
        <v>0</v>
      </c>
      <c r="V100" s="4">
        <v>1.1</v>
      </c>
      <c r="W100" s="7">
        <f t="shared" si="52"/>
        <v>0</v>
      </c>
      <c r="X100" s="4">
        <f t="shared" si="42"/>
        <v>0</v>
      </c>
      <c r="Y100" s="4">
        <f t="shared" si="43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48"/>
        <v>0</v>
      </c>
      <c r="AE100" s="4">
        <f t="shared" si="44"/>
        <v>0</v>
      </c>
      <c r="AF100" s="4">
        <f t="shared" si="45"/>
        <v>0</v>
      </c>
      <c r="AG100" s="4">
        <v>1</v>
      </c>
    </row>
    <row r="101" spans="1:33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3</v>
      </c>
      <c r="O101" s="4">
        <f>W101/N101*(1+1)*(1+1.5)</f>
        <v>0</v>
      </c>
      <c r="P101" s="7">
        <f t="shared" si="49"/>
        <v>0</v>
      </c>
      <c r="Q101" s="7">
        <f t="shared" si="50"/>
        <v>0</v>
      </c>
      <c r="R101" s="7">
        <f t="shared" si="54"/>
        <v>0</v>
      </c>
      <c r="S101" s="7">
        <f t="shared" si="55"/>
        <v>0</v>
      </c>
      <c r="T101" s="7">
        <f>W101/N101*(1+0.5)*(1+0.5)</f>
        <v>0</v>
      </c>
      <c r="U101" s="7">
        <f t="shared" si="46"/>
        <v>0</v>
      </c>
      <c r="V101" s="4">
        <v>1.1</v>
      </c>
      <c r="W101" s="7">
        <f t="shared" si="52"/>
        <v>0</v>
      </c>
      <c r="X101" s="4">
        <f t="shared" si="42"/>
        <v>0</v>
      </c>
      <c r="Y101" s="4">
        <f t="shared" si="43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48"/>
        <v>0</v>
      </c>
      <c r="AE101" s="4">
        <f t="shared" si="44"/>
        <v>0</v>
      </c>
      <c r="AF101" s="4">
        <f t="shared" si="45"/>
        <v>0</v>
      </c>
      <c r="AG101" s="4">
        <v>1</v>
      </c>
    </row>
    <row r="102" spans="1:33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3</v>
      </c>
      <c r="O102" s="4">
        <f>W102/N102*(1+1)*(1+1.5)</f>
        <v>0</v>
      </c>
      <c r="P102" s="7">
        <f t="shared" si="49"/>
        <v>0</v>
      </c>
      <c r="Q102" s="7">
        <f t="shared" si="50"/>
        <v>0</v>
      </c>
      <c r="R102" s="7">
        <f t="shared" si="54"/>
        <v>0</v>
      </c>
      <c r="S102" s="7">
        <f t="shared" si="55"/>
        <v>0</v>
      </c>
      <c r="T102" s="7">
        <f>W102/N102*(1+0.5)*(1+0.5)</f>
        <v>0</v>
      </c>
      <c r="U102" s="7">
        <f t="shared" si="46"/>
        <v>0</v>
      </c>
      <c r="V102" s="4">
        <v>1.1</v>
      </c>
      <c r="W102" s="7">
        <f t="shared" si="52"/>
        <v>0</v>
      </c>
      <c r="X102" s="4">
        <f t="shared" si="42"/>
        <v>0</v>
      </c>
      <c r="Y102" s="4">
        <f t="shared" si="43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48"/>
        <v>0</v>
      </c>
      <c r="AE102" s="4">
        <f t="shared" si="44"/>
        <v>0</v>
      </c>
      <c r="AF102" s="4">
        <f t="shared" si="45"/>
        <v>0</v>
      </c>
      <c r="AG102" s="4">
        <v>1</v>
      </c>
    </row>
    <row r="103" spans="1:33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3</v>
      </c>
      <c r="O103" s="4">
        <f>W103/N103*(1+1)*(1+1.5)</f>
        <v>0</v>
      </c>
      <c r="P103" s="7">
        <f>W103/N103*(1+1)*(1+0.5)</f>
        <v>0</v>
      </c>
      <c r="Q103" s="7">
        <f t="shared" si="50"/>
        <v>0</v>
      </c>
      <c r="R103" s="7">
        <f t="shared" si="54"/>
        <v>0</v>
      </c>
      <c r="S103" s="7">
        <f t="shared" si="55"/>
        <v>0</v>
      </c>
      <c r="T103" s="7">
        <f>W103/N103*(1+0.5)*(1+0.5)</f>
        <v>0</v>
      </c>
      <c r="U103" s="7">
        <f t="shared" si="46"/>
        <v>0</v>
      </c>
      <c r="V103" s="4">
        <v>1.2</v>
      </c>
      <c r="W103" s="7">
        <f>F26</f>
        <v>0</v>
      </c>
      <c r="X103" s="4">
        <f t="shared" si="42"/>
        <v>0</v>
      </c>
      <c r="Y103" s="4">
        <f t="shared" si="43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48"/>
        <v>0</v>
      </c>
      <c r="AE103" s="4">
        <f t="shared" si="44"/>
        <v>0</v>
      </c>
      <c r="AF103" s="4">
        <f t="shared" si="45"/>
        <v>0</v>
      </c>
      <c r="AG103" s="4">
        <v>1</v>
      </c>
    </row>
    <row r="104" spans="12:12">
      <c r="L104" s="7"/>
    </row>
    <row r="109" spans="2:2">
      <c r="B109">
        <f>19*70</f>
        <v>1330</v>
      </c>
    </row>
    <row r="110" spans="2:9">
      <c r="B110">
        <f>11*120</f>
        <v>1320</v>
      </c>
      <c r="H110">
        <v>1</v>
      </c>
      <c r="I110">
        <v>4</v>
      </c>
    </row>
    <row r="111" spans="8:9">
      <c r="H111">
        <v>2</v>
      </c>
      <c r="I111">
        <v>6</v>
      </c>
    </row>
    <row r="112" spans="5:9">
      <c r="E112">
        <f>10*70</f>
        <v>700</v>
      </c>
      <c r="H112">
        <v>3</v>
      </c>
      <c r="I112">
        <v>7</v>
      </c>
    </row>
    <row r="113" spans="2:9">
      <c r="B113">
        <f>15*70</f>
        <v>1050</v>
      </c>
      <c r="H113">
        <v>4</v>
      </c>
      <c r="I113">
        <v>8</v>
      </c>
    </row>
    <row r="114" spans="8:9">
      <c r="H114">
        <v>5</v>
      </c>
      <c r="I114">
        <v>9</v>
      </c>
    </row>
    <row r="115" spans="8:9">
      <c r="H115">
        <v>6</v>
      </c>
      <c r="I115">
        <v>10</v>
      </c>
    </row>
    <row r="116" spans="5:9">
      <c r="E116">
        <v>6</v>
      </c>
      <c r="F116">
        <v>7</v>
      </c>
      <c r="H116">
        <v>7</v>
      </c>
      <c r="I116">
        <v>11</v>
      </c>
    </row>
    <row r="117" spans="6:9">
      <c r="F117">
        <v>8</v>
      </c>
      <c r="H117">
        <v>8</v>
      </c>
      <c r="I117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武器技能设计</vt:lpstr>
      <vt:lpstr>武器伤害</vt:lpstr>
      <vt:lpstr>技能系数</vt:lpstr>
      <vt:lpstr>技能池</vt:lpstr>
      <vt:lpstr>技能概率</vt:lpstr>
      <vt:lpstr>怪物难度系数</vt:lpstr>
      <vt:lpstr>通用关卡</vt:lpstr>
      <vt:lpstr>第1关</vt:lpstr>
      <vt:lpstr>第2关</vt:lpstr>
      <vt:lpstr>第3关</vt:lpstr>
      <vt:lpstr>第4关</vt:lpstr>
      <vt:lpstr>第5关</vt:lpstr>
      <vt:lpstr>第6关</vt:lpstr>
      <vt:lpstr>第7关</vt:lpstr>
      <vt:lpstr>第8关</vt:lpstr>
      <vt:lpstr>第9关</vt:lpstr>
      <vt:lpstr>第10关</vt:lpstr>
      <vt:lpstr>第11关</vt:lpstr>
      <vt:lpstr>第12关</vt:lpstr>
      <vt:lpstr>第13关</vt:lpstr>
      <vt:lpstr>第14关</vt:lpstr>
      <vt:lpstr>第15关</vt:lpstr>
      <vt:lpstr>第16关</vt:lpstr>
      <vt:lpstr>第17关</vt:lpstr>
      <vt:lpstr>第18关</vt:lpstr>
      <vt:lpstr>第19关</vt:lpstr>
      <vt:lpstr>第20关</vt:lpstr>
      <vt:lpstr>第21关</vt:lpstr>
      <vt:lpstr>第22关</vt:lpstr>
      <vt:lpstr>章节表配置</vt:lpstr>
      <vt:lpstr>副本第1关</vt:lpstr>
      <vt:lpstr>副本第2关</vt:lpstr>
      <vt:lpstr>副本第3关</vt:lpstr>
      <vt:lpstr>副本第4关</vt:lpstr>
      <vt:lpstr>副本第5关</vt:lpstr>
      <vt:lpstr>橙武副本1</vt:lpstr>
      <vt:lpstr>橙武副本3</vt:lpstr>
      <vt:lpstr>橙武副本4</vt:lpstr>
      <vt:lpstr>怪物表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WPS_1628567670</cp:lastModifiedBy>
  <dcterms:created xsi:type="dcterms:W3CDTF">2015-06-05T18:19:00Z</dcterms:created>
  <dcterms:modified xsi:type="dcterms:W3CDTF">2026-08-28T02:28:09Z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05F4E1B0F79F4D3D99E2BA0DF33211BF</vt:lpwstr>
  </property>
  <property fmtid="{D5CDD505-2E9C-101B-9397-08002B2CF9AE}" pid="3" name="KSOProductBuildVer">
    <vt:lpwstr>2052-11.8.2.10912</vt:lpwstr>
  </property>
</Properties>
</file>